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0" yWindow="810" windowWidth="28875" windowHeight="5850"/>
  </bookViews>
  <sheets>
    <sheet name="AJUDA E TABELAS" sheetId="3" r:id="rId1"/>
    <sheet name="DADOS" sheetId="2" r:id="rId2"/>
    <sheet name="LISTA MATERIAIS" sheetId="4" r:id="rId3"/>
    <sheet name="MÃO DE OBRA" sheetId="5" r:id="rId4"/>
    <sheet name="RESULTADOS" sheetId="6" r:id="rId5"/>
    <sheet name="QUALIDADE" sheetId="7" r:id="rId6"/>
    <sheet name="Orçamento" sheetId="10" r:id="rId7"/>
    <sheet name="Cronograma" sheetId="11" r:id="rId8"/>
    <sheet name="ESPELHO" sheetId="12" r:id="rId9"/>
  </sheets>
  <externalReferences>
    <externalReference r:id="rId10"/>
    <externalReference r:id="rId11"/>
  </externalReferences>
  <definedNames>
    <definedName name="AramePercentual">[1]Planejamento_Obra!$B$126</definedName>
    <definedName name="_xlnm.Print_Area" localSheetId="7">Cronograma!$B$5:$BC$70</definedName>
    <definedName name="_xlnm.Print_Area" localSheetId="6">Orçamento!$B$6:$L$346</definedName>
    <definedName name="Estacas">[1]Planejamento_Obra!$B$11</definedName>
    <definedName name="Gaiolas">[1]Planejamento_Obra!$B$12</definedName>
    <definedName name="LinearBaldrame">[1]Planejamento_Obra!$B$18</definedName>
    <definedName name="PeDireito">[1]Planejamento_Obra!$B$19</definedName>
    <definedName name="PercentualPrego">[1]Planejamento_Obra!$B$127</definedName>
    <definedName name="Profundidade">[1]Planejamento_Obra!$B$14</definedName>
    <definedName name="TamanhoCasa">[1]Planejamento_Obra!$B$3</definedName>
    <definedName name="TamanhoColunaFerro">[1]Planejamento_Obra!$B$117</definedName>
    <definedName name="_xlnm.Print_Titles" localSheetId="7">Cronograma!$B$1:$G$65536,Cronograma!$A$5:$IV$19</definedName>
    <definedName name="_xlnm.Print_Titles" localSheetId="6">Orçamento!$A$6:$IV$21</definedName>
    <definedName name="TotalAreiaFina">[1]Planejamento_Obra!$C$88</definedName>
    <definedName name="TotalAreiaMedia">[1]Planejamento_Obra!$D$88</definedName>
    <definedName name="TotalBrita">[1]Planejamento_Obra!$E$88</definedName>
  </definedNames>
  <calcPr calcId="125725"/>
</workbook>
</file>

<file path=xl/calcChain.xml><?xml version="1.0" encoding="utf-8"?>
<calcChain xmlns="http://schemas.openxmlformats.org/spreadsheetml/2006/main">
  <c r="F239" i="4"/>
  <c r="F233"/>
  <c r="F227"/>
  <c r="R30" i="5"/>
  <c r="N256" i="4"/>
  <c r="N257"/>
  <c r="M256"/>
  <c r="M257"/>
  <c r="K256"/>
  <c r="K257"/>
  <c r="H256"/>
  <c r="H257"/>
  <c r="H258"/>
  <c r="K258"/>
  <c r="M258"/>
  <c r="N258"/>
  <c r="H138"/>
  <c r="H137"/>
  <c r="K138"/>
  <c r="K137"/>
  <c r="F160"/>
  <c r="F187" l="1"/>
  <c r="L9" i="5"/>
  <c r="G46" i="4" l="1"/>
  <c r="F74" l="1"/>
  <c r="H31" i="2" l="1"/>
  <c r="F184" i="4" l="1"/>
  <c r="F37"/>
  <c r="L25" i="5"/>
  <c r="L10"/>
  <c r="F245" i="4"/>
  <c r="N240" l="1"/>
  <c r="N241"/>
  <c r="N242"/>
  <c r="N243"/>
  <c r="N244"/>
  <c r="M240"/>
  <c r="M241"/>
  <c r="M242"/>
  <c r="M243"/>
  <c r="M244"/>
  <c r="K240"/>
  <c r="K241"/>
  <c r="K242"/>
  <c r="K243"/>
  <c r="K244"/>
  <c r="H240"/>
  <c r="H241"/>
  <c r="H242"/>
  <c r="H243"/>
  <c r="H244"/>
  <c r="F186"/>
  <c r="F185"/>
  <c r="F213"/>
  <c r="F212"/>
  <c r="H206"/>
  <c r="H200"/>
  <c r="F161"/>
  <c r="M180" l="1"/>
  <c r="M182"/>
  <c r="M183"/>
  <c r="N180"/>
  <c r="N182"/>
  <c r="N183"/>
  <c r="K180"/>
  <c r="K181"/>
  <c r="M181" s="1"/>
  <c r="N181" s="1"/>
  <c r="K182"/>
  <c r="K183"/>
  <c r="H180"/>
  <c r="H181"/>
  <c r="H182"/>
  <c r="H183"/>
  <c r="K173"/>
  <c r="H173"/>
  <c r="K168"/>
  <c r="H168"/>
  <c r="K162"/>
  <c r="H162"/>
  <c r="F32" i="2" l="1"/>
  <c r="F63" i="4" l="1"/>
  <c r="F62"/>
  <c r="F61"/>
  <c r="F60"/>
  <c r="F33" i="2"/>
  <c r="F17" i="4" l="1"/>
  <c r="F27" s="1"/>
  <c r="F13"/>
  <c r="F12"/>
  <c r="F11"/>
  <c r="F10"/>
  <c r="I312" i="10"/>
  <c r="I311"/>
  <c r="H311"/>
  <c r="I310"/>
  <c r="H111"/>
  <c r="I83" l="1"/>
  <c r="H83"/>
  <c r="H65"/>
  <c r="J65" s="1"/>
  <c r="I57"/>
  <c r="J38"/>
  <c r="J77" i="12"/>
  <c r="J76"/>
  <c r="J75"/>
  <c r="Y70"/>
  <c r="L61"/>
  <c r="V70"/>
  <c r="D18"/>
  <c r="R7"/>
  <c r="U2"/>
  <c r="Q2"/>
  <c r="AF70" i="11"/>
  <c r="AR70" s="1"/>
  <c r="AG70"/>
  <c r="AS70" s="1"/>
  <c r="AF69"/>
  <c r="AR69" s="1"/>
  <c r="AG69"/>
  <c r="AS69" s="1"/>
  <c r="AF68"/>
  <c r="AR68" s="1"/>
  <c r="AG68"/>
  <c r="AS68" s="1"/>
  <c r="X68"/>
  <c r="AJ68" s="1"/>
  <c r="AV68" s="1"/>
  <c r="AQ61"/>
  <c r="AS61" s="1"/>
  <c r="AU61" s="1"/>
  <c r="AW61" s="1"/>
  <c r="AY61" s="1"/>
  <c r="BA61" s="1"/>
  <c r="BC61" s="1"/>
  <c r="AA61"/>
  <c r="AC61" s="1"/>
  <c r="AE61" s="1"/>
  <c r="AG61" s="1"/>
  <c r="AI61" s="1"/>
  <c r="AK61" s="1"/>
  <c r="AM61" s="1"/>
  <c r="AO61" s="1"/>
  <c r="K61"/>
  <c r="M61" s="1"/>
  <c r="O61" s="1"/>
  <c r="Q61" s="1"/>
  <c r="S61" s="1"/>
  <c r="U61" s="1"/>
  <c r="W61" s="1"/>
  <c r="Y61" s="1"/>
  <c r="I61"/>
  <c r="AU60"/>
  <c r="AW60" s="1"/>
  <c r="AY60" s="1"/>
  <c r="BA60" s="1"/>
  <c r="BC60" s="1"/>
  <c r="AE60"/>
  <c r="AG60" s="1"/>
  <c r="AI60" s="1"/>
  <c r="AK60" s="1"/>
  <c r="AM60" s="1"/>
  <c r="AO60" s="1"/>
  <c r="AQ60" s="1"/>
  <c r="AS60" s="1"/>
  <c r="O60"/>
  <c r="Q60" s="1"/>
  <c r="S60" s="1"/>
  <c r="U60" s="1"/>
  <c r="W60" s="1"/>
  <c r="Y60" s="1"/>
  <c r="AA60" s="1"/>
  <c r="AC60" s="1"/>
  <c r="I60"/>
  <c r="K60" s="1"/>
  <c r="M60" s="1"/>
  <c r="S59"/>
  <c r="U59" s="1"/>
  <c r="W59" s="1"/>
  <c r="Y59" s="1"/>
  <c r="AA59" s="1"/>
  <c r="AC59" s="1"/>
  <c r="AE59" s="1"/>
  <c r="AG59" s="1"/>
  <c r="AI59" s="1"/>
  <c r="AK59" s="1"/>
  <c r="AM59" s="1"/>
  <c r="AO59" s="1"/>
  <c r="AQ59" s="1"/>
  <c r="AS59" s="1"/>
  <c r="AU59" s="1"/>
  <c r="AW59" s="1"/>
  <c r="AY59" s="1"/>
  <c r="BA59" s="1"/>
  <c r="BC59" s="1"/>
  <c r="M59"/>
  <c r="O59" s="1"/>
  <c r="Q59" s="1"/>
  <c r="K59"/>
  <c r="I59"/>
  <c r="W57"/>
  <c r="Y57" s="1"/>
  <c r="AA57" s="1"/>
  <c r="AC57" s="1"/>
  <c r="AE57" s="1"/>
  <c r="AG57" s="1"/>
  <c r="AI57" s="1"/>
  <c r="AK57" s="1"/>
  <c r="AM57" s="1"/>
  <c r="AO57" s="1"/>
  <c r="AQ57" s="1"/>
  <c r="AS57" s="1"/>
  <c r="AU57" s="1"/>
  <c r="AW57" s="1"/>
  <c r="AY57" s="1"/>
  <c r="BA57" s="1"/>
  <c r="BC57" s="1"/>
  <c r="K57"/>
  <c r="M57" s="1"/>
  <c r="O57" s="1"/>
  <c r="Q57" s="1"/>
  <c r="S57" s="1"/>
  <c r="U57" s="1"/>
  <c r="I57"/>
  <c r="AA56"/>
  <c r="AC56" s="1"/>
  <c r="AE56" s="1"/>
  <c r="AG56" s="1"/>
  <c r="AI56" s="1"/>
  <c r="AK56" s="1"/>
  <c r="AM56" s="1"/>
  <c r="AO56" s="1"/>
  <c r="AQ56" s="1"/>
  <c r="AS56" s="1"/>
  <c r="AU56" s="1"/>
  <c r="AW56" s="1"/>
  <c r="AY56" s="1"/>
  <c r="BA56" s="1"/>
  <c r="BC56" s="1"/>
  <c r="K56"/>
  <c r="M56" s="1"/>
  <c r="O56" s="1"/>
  <c r="Q56" s="1"/>
  <c r="S56" s="1"/>
  <c r="U56" s="1"/>
  <c r="W56" s="1"/>
  <c r="Y56" s="1"/>
  <c r="I56"/>
  <c r="I55"/>
  <c r="K55" s="1"/>
  <c r="M55" s="1"/>
  <c r="O55" s="1"/>
  <c r="Q55" s="1"/>
  <c r="S55" s="1"/>
  <c r="U55" s="1"/>
  <c r="W55" s="1"/>
  <c r="Y55" s="1"/>
  <c r="AA55" s="1"/>
  <c r="AC55" s="1"/>
  <c r="AE55" s="1"/>
  <c r="AG55" s="1"/>
  <c r="AI55" s="1"/>
  <c r="AK55" s="1"/>
  <c r="AM55" s="1"/>
  <c r="AO55" s="1"/>
  <c r="AQ55" s="1"/>
  <c r="AS55" s="1"/>
  <c r="AU55" s="1"/>
  <c r="AW55" s="1"/>
  <c r="AY55" s="1"/>
  <c r="BA55" s="1"/>
  <c r="BC55" s="1"/>
  <c r="AY54"/>
  <c r="BA54" s="1"/>
  <c r="BC54" s="1"/>
  <c r="AI54"/>
  <c r="AK54" s="1"/>
  <c r="AM54" s="1"/>
  <c r="AO54" s="1"/>
  <c r="AQ54" s="1"/>
  <c r="AS54" s="1"/>
  <c r="AU54" s="1"/>
  <c r="AW54" s="1"/>
  <c r="S54"/>
  <c r="U54" s="1"/>
  <c r="W54" s="1"/>
  <c r="Y54" s="1"/>
  <c r="AA54" s="1"/>
  <c r="AC54" s="1"/>
  <c r="AE54" s="1"/>
  <c r="AG54" s="1"/>
  <c r="M54"/>
  <c r="O54" s="1"/>
  <c r="Q54" s="1"/>
  <c r="K54"/>
  <c r="I54"/>
  <c r="BC53"/>
  <c r="AM53"/>
  <c r="AO53" s="1"/>
  <c r="AQ53" s="1"/>
  <c r="AS53" s="1"/>
  <c r="AU53" s="1"/>
  <c r="AW53" s="1"/>
  <c r="AY53" s="1"/>
  <c r="BA53" s="1"/>
  <c r="W53"/>
  <c r="Y53" s="1"/>
  <c r="AA53" s="1"/>
  <c r="AC53" s="1"/>
  <c r="AE53" s="1"/>
  <c r="AG53" s="1"/>
  <c r="AI53" s="1"/>
  <c r="AK53" s="1"/>
  <c r="K53"/>
  <c r="M53" s="1"/>
  <c r="O53" s="1"/>
  <c r="Q53" s="1"/>
  <c r="S53" s="1"/>
  <c r="U53" s="1"/>
  <c r="I53"/>
  <c r="AQ51"/>
  <c r="AS51" s="1"/>
  <c r="AU51" s="1"/>
  <c r="AW51" s="1"/>
  <c r="AY51" s="1"/>
  <c r="BA51" s="1"/>
  <c r="BC51" s="1"/>
  <c r="AA51"/>
  <c r="AC51" s="1"/>
  <c r="AE51" s="1"/>
  <c r="AG51" s="1"/>
  <c r="AI51" s="1"/>
  <c r="AK51" s="1"/>
  <c r="AM51" s="1"/>
  <c r="AO51" s="1"/>
  <c r="K51"/>
  <c r="M51" s="1"/>
  <c r="O51" s="1"/>
  <c r="Q51" s="1"/>
  <c r="S51" s="1"/>
  <c r="U51" s="1"/>
  <c r="W51" s="1"/>
  <c r="Y51" s="1"/>
  <c r="I51"/>
  <c r="C51"/>
  <c r="AG50"/>
  <c r="AI50" s="1"/>
  <c r="AK50" s="1"/>
  <c r="AM50" s="1"/>
  <c r="AO50" s="1"/>
  <c r="AQ50" s="1"/>
  <c r="AS50" s="1"/>
  <c r="AU50" s="1"/>
  <c r="AW50" s="1"/>
  <c r="AY50" s="1"/>
  <c r="BA50" s="1"/>
  <c r="BC50" s="1"/>
  <c r="Q50"/>
  <c r="S50" s="1"/>
  <c r="U50" s="1"/>
  <c r="W50" s="1"/>
  <c r="Y50" s="1"/>
  <c r="AA50" s="1"/>
  <c r="AC50" s="1"/>
  <c r="AE50" s="1"/>
  <c r="K50"/>
  <c r="M50" s="1"/>
  <c r="O50" s="1"/>
  <c r="I50"/>
  <c r="U49"/>
  <c r="W49" s="1"/>
  <c r="Y49" s="1"/>
  <c r="AA49" s="1"/>
  <c r="AC49" s="1"/>
  <c r="AE49" s="1"/>
  <c r="AG49" s="1"/>
  <c r="AI49" s="1"/>
  <c r="AK49" s="1"/>
  <c r="AM49" s="1"/>
  <c r="AO49" s="1"/>
  <c r="AQ49" s="1"/>
  <c r="AS49" s="1"/>
  <c r="AU49" s="1"/>
  <c r="AW49" s="1"/>
  <c r="AY49" s="1"/>
  <c r="BA49" s="1"/>
  <c r="BC49" s="1"/>
  <c r="I49"/>
  <c r="K49" s="1"/>
  <c r="M49" s="1"/>
  <c r="O49" s="1"/>
  <c r="Q49" s="1"/>
  <c r="S49" s="1"/>
  <c r="I48"/>
  <c r="K48" s="1"/>
  <c r="M48" s="1"/>
  <c r="O48" s="1"/>
  <c r="Q48" s="1"/>
  <c r="S48" s="1"/>
  <c r="U48" s="1"/>
  <c r="W48" s="1"/>
  <c r="Y48" s="1"/>
  <c r="AA48" s="1"/>
  <c r="AC48" s="1"/>
  <c r="AE48" s="1"/>
  <c r="AG48" s="1"/>
  <c r="AI48" s="1"/>
  <c r="AK48" s="1"/>
  <c r="AM48" s="1"/>
  <c r="AO48" s="1"/>
  <c r="AQ48" s="1"/>
  <c r="AS48" s="1"/>
  <c r="AU48" s="1"/>
  <c r="AW48" s="1"/>
  <c r="AY48" s="1"/>
  <c r="BA48" s="1"/>
  <c r="BC48" s="1"/>
  <c r="AS47"/>
  <c r="AU47" s="1"/>
  <c r="AW47" s="1"/>
  <c r="AY47" s="1"/>
  <c r="BA47" s="1"/>
  <c r="BC47" s="1"/>
  <c r="AC47"/>
  <c r="AE47" s="1"/>
  <c r="AG47" s="1"/>
  <c r="AI47" s="1"/>
  <c r="AK47" s="1"/>
  <c r="AM47" s="1"/>
  <c r="AO47" s="1"/>
  <c r="AQ47" s="1"/>
  <c r="M47"/>
  <c r="O47" s="1"/>
  <c r="Q47" s="1"/>
  <c r="S47" s="1"/>
  <c r="U47" s="1"/>
  <c r="W47" s="1"/>
  <c r="Y47" s="1"/>
  <c r="AA47" s="1"/>
  <c r="K47"/>
  <c r="I47"/>
  <c r="AW46"/>
  <c r="AY46" s="1"/>
  <c r="BA46" s="1"/>
  <c r="BC46" s="1"/>
  <c r="AG46"/>
  <c r="AI46" s="1"/>
  <c r="AK46" s="1"/>
  <c r="AM46" s="1"/>
  <c r="AO46" s="1"/>
  <c r="AQ46" s="1"/>
  <c r="AS46" s="1"/>
  <c r="AU46" s="1"/>
  <c r="Q46"/>
  <c r="S46" s="1"/>
  <c r="U46" s="1"/>
  <c r="W46" s="1"/>
  <c r="Y46" s="1"/>
  <c r="AA46" s="1"/>
  <c r="AC46" s="1"/>
  <c r="AE46" s="1"/>
  <c r="K46"/>
  <c r="M46" s="1"/>
  <c r="O46" s="1"/>
  <c r="I46"/>
  <c r="AK45"/>
  <c r="AM45" s="1"/>
  <c r="AO45" s="1"/>
  <c r="AQ45" s="1"/>
  <c r="AS45" s="1"/>
  <c r="AU45" s="1"/>
  <c r="AW45" s="1"/>
  <c r="AY45" s="1"/>
  <c r="BA45" s="1"/>
  <c r="BC45" s="1"/>
  <c r="U45"/>
  <c r="W45" s="1"/>
  <c r="Y45" s="1"/>
  <c r="AA45" s="1"/>
  <c r="AC45" s="1"/>
  <c r="AE45" s="1"/>
  <c r="AG45" s="1"/>
  <c r="AI45" s="1"/>
  <c r="I45"/>
  <c r="K45" s="1"/>
  <c r="M45" s="1"/>
  <c r="O45" s="1"/>
  <c r="Q45" s="1"/>
  <c r="S45" s="1"/>
  <c r="Y43"/>
  <c r="AA43" s="1"/>
  <c r="AC43" s="1"/>
  <c r="AE43" s="1"/>
  <c r="AG43" s="1"/>
  <c r="AI43" s="1"/>
  <c r="AK43" s="1"/>
  <c r="AM43" s="1"/>
  <c r="AO43" s="1"/>
  <c r="AQ43" s="1"/>
  <c r="AS43" s="1"/>
  <c r="AU43" s="1"/>
  <c r="AW43" s="1"/>
  <c r="AY43" s="1"/>
  <c r="BA43" s="1"/>
  <c r="BC43" s="1"/>
  <c r="I43"/>
  <c r="K43" s="1"/>
  <c r="M43" s="1"/>
  <c r="O43" s="1"/>
  <c r="Q43" s="1"/>
  <c r="S43" s="1"/>
  <c r="U43" s="1"/>
  <c r="W43" s="1"/>
  <c r="AS42"/>
  <c r="AU42" s="1"/>
  <c r="AW42" s="1"/>
  <c r="AY42" s="1"/>
  <c r="BA42" s="1"/>
  <c r="BC42" s="1"/>
  <c r="AC42"/>
  <c r="AE42" s="1"/>
  <c r="AG42" s="1"/>
  <c r="AI42" s="1"/>
  <c r="AK42" s="1"/>
  <c r="AM42" s="1"/>
  <c r="AO42" s="1"/>
  <c r="AQ42" s="1"/>
  <c r="M42"/>
  <c r="O42" s="1"/>
  <c r="Q42" s="1"/>
  <c r="S42" s="1"/>
  <c r="U42" s="1"/>
  <c r="W42" s="1"/>
  <c r="Y42" s="1"/>
  <c r="AA42" s="1"/>
  <c r="K42"/>
  <c r="I42"/>
  <c r="AW41"/>
  <c r="AY41" s="1"/>
  <c r="BA41" s="1"/>
  <c r="BC41" s="1"/>
  <c r="AG41"/>
  <c r="AI41" s="1"/>
  <c r="AK41" s="1"/>
  <c r="AM41" s="1"/>
  <c r="AO41" s="1"/>
  <c r="AQ41" s="1"/>
  <c r="AS41" s="1"/>
  <c r="AU41" s="1"/>
  <c r="Q41"/>
  <c r="S41" s="1"/>
  <c r="U41" s="1"/>
  <c r="W41" s="1"/>
  <c r="Y41" s="1"/>
  <c r="AA41" s="1"/>
  <c r="AC41" s="1"/>
  <c r="AE41" s="1"/>
  <c r="K41"/>
  <c r="M41" s="1"/>
  <c r="O41" s="1"/>
  <c r="I41"/>
  <c r="BA40"/>
  <c r="BC40" s="1"/>
  <c r="AK40"/>
  <c r="AM40" s="1"/>
  <c r="AO40" s="1"/>
  <c r="AQ40" s="1"/>
  <c r="AS40" s="1"/>
  <c r="AU40" s="1"/>
  <c r="AW40" s="1"/>
  <c r="AY40" s="1"/>
  <c r="U40"/>
  <c r="W40" s="1"/>
  <c r="Y40" s="1"/>
  <c r="AA40" s="1"/>
  <c r="AC40" s="1"/>
  <c r="AE40" s="1"/>
  <c r="AG40" s="1"/>
  <c r="AI40" s="1"/>
  <c r="I40"/>
  <c r="K40" s="1"/>
  <c r="M40" s="1"/>
  <c r="O40" s="1"/>
  <c r="Q40" s="1"/>
  <c r="S40" s="1"/>
  <c r="I39"/>
  <c r="K39" s="1"/>
  <c r="M39" s="1"/>
  <c r="O39" s="1"/>
  <c r="Q39" s="1"/>
  <c r="S39" s="1"/>
  <c r="U39" s="1"/>
  <c r="W39" s="1"/>
  <c r="Y39" s="1"/>
  <c r="AA39" s="1"/>
  <c r="AC39" s="1"/>
  <c r="AE39" s="1"/>
  <c r="AG39" s="1"/>
  <c r="AI39" s="1"/>
  <c r="AK39" s="1"/>
  <c r="AM39" s="1"/>
  <c r="AO39" s="1"/>
  <c r="AQ39" s="1"/>
  <c r="AS39" s="1"/>
  <c r="AU39" s="1"/>
  <c r="AW39" s="1"/>
  <c r="AY39" s="1"/>
  <c r="BA39" s="1"/>
  <c r="BC39" s="1"/>
  <c r="M38"/>
  <c r="O38" s="1"/>
  <c r="Q38" s="1"/>
  <c r="S38" s="1"/>
  <c r="U38" s="1"/>
  <c r="W38" s="1"/>
  <c r="Y38" s="1"/>
  <c r="AA38" s="1"/>
  <c r="AC38" s="1"/>
  <c r="AE38" s="1"/>
  <c r="AG38" s="1"/>
  <c r="AI38" s="1"/>
  <c r="AK38" s="1"/>
  <c r="AM38" s="1"/>
  <c r="AO38" s="1"/>
  <c r="AQ38" s="1"/>
  <c r="AS38" s="1"/>
  <c r="AU38" s="1"/>
  <c r="AW38" s="1"/>
  <c r="AY38" s="1"/>
  <c r="BA38" s="1"/>
  <c r="BC38" s="1"/>
  <c r="K38"/>
  <c r="I38"/>
  <c r="K36"/>
  <c r="M36" s="1"/>
  <c r="O36" s="1"/>
  <c r="Q36" s="1"/>
  <c r="S36" s="1"/>
  <c r="U36" s="1"/>
  <c r="W36" s="1"/>
  <c r="Y36" s="1"/>
  <c r="AA36" s="1"/>
  <c r="AC36" s="1"/>
  <c r="AE36" s="1"/>
  <c r="AG36" s="1"/>
  <c r="AI36" s="1"/>
  <c r="AK36" s="1"/>
  <c r="AM36" s="1"/>
  <c r="AO36" s="1"/>
  <c r="AQ36" s="1"/>
  <c r="AS36" s="1"/>
  <c r="AU36" s="1"/>
  <c r="AW36" s="1"/>
  <c r="AY36" s="1"/>
  <c r="BA36" s="1"/>
  <c r="BC36" s="1"/>
  <c r="I36"/>
  <c r="BA35"/>
  <c r="BC35" s="1"/>
  <c r="AK35"/>
  <c r="AM35" s="1"/>
  <c r="AO35" s="1"/>
  <c r="AQ35" s="1"/>
  <c r="AS35" s="1"/>
  <c r="AU35" s="1"/>
  <c r="AW35" s="1"/>
  <c r="AY35" s="1"/>
  <c r="U35"/>
  <c r="W35" s="1"/>
  <c r="Y35" s="1"/>
  <c r="AA35" s="1"/>
  <c r="AC35" s="1"/>
  <c r="AE35" s="1"/>
  <c r="AG35" s="1"/>
  <c r="AI35" s="1"/>
  <c r="I35"/>
  <c r="K35" s="1"/>
  <c r="M35" s="1"/>
  <c r="O35" s="1"/>
  <c r="Q35" s="1"/>
  <c r="S35" s="1"/>
  <c r="Y34"/>
  <c r="AA34" s="1"/>
  <c r="AC34" s="1"/>
  <c r="AE34" s="1"/>
  <c r="AG34" s="1"/>
  <c r="AI34" s="1"/>
  <c r="AK34" s="1"/>
  <c r="AM34" s="1"/>
  <c r="AO34" s="1"/>
  <c r="AQ34" s="1"/>
  <c r="AS34" s="1"/>
  <c r="AU34" s="1"/>
  <c r="AW34" s="1"/>
  <c r="AY34" s="1"/>
  <c r="BA34" s="1"/>
  <c r="BC34" s="1"/>
  <c r="I34"/>
  <c r="K34" s="1"/>
  <c r="M34" s="1"/>
  <c r="O34" s="1"/>
  <c r="Q34" s="1"/>
  <c r="S34" s="1"/>
  <c r="U34" s="1"/>
  <c r="W34" s="1"/>
  <c r="M32"/>
  <c r="O32" s="1"/>
  <c r="Q32" s="1"/>
  <c r="S32" s="1"/>
  <c r="U32" s="1"/>
  <c r="W32" s="1"/>
  <c r="Y32" s="1"/>
  <c r="AA32" s="1"/>
  <c r="AC32" s="1"/>
  <c r="AE32" s="1"/>
  <c r="AG32" s="1"/>
  <c r="AI32" s="1"/>
  <c r="AK32" s="1"/>
  <c r="AM32" s="1"/>
  <c r="AO32" s="1"/>
  <c r="AQ32" s="1"/>
  <c r="AS32" s="1"/>
  <c r="AU32" s="1"/>
  <c r="AW32" s="1"/>
  <c r="AY32" s="1"/>
  <c r="BA32" s="1"/>
  <c r="BC32" s="1"/>
  <c r="K32"/>
  <c r="I32"/>
  <c r="K31"/>
  <c r="M31" s="1"/>
  <c r="O31" s="1"/>
  <c r="Q31" s="1"/>
  <c r="S31" s="1"/>
  <c r="U31" s="1"/>
  <c r="W31" s="1"/>
  <c r="Y31" s="1"/>
  <c r="AA31" s="1"/>
  <c r="AC31" s="1"/>
  <c r="AE31" s="1"/>
  <c r="AG31" s="1"/>
  <c r="AI31" s="1"/>
  <c r="AK31" s="1"/>
  <c r="AM31" s="1"/>
  <c r="AO31" s="1"/>
  <c r="AQ31" s="1"/>
  <c r="AS31" s="1"/>
  <c r="AU31" s="1"/>
  <c r="AW31" s="1"/>
  <c r="AY31" s="1"/>
  <c r="BA31" s="1"/>
  <c r="BC31" s="1"/>
  <c r="I31"/>
  <c r="I30"/>
  <c r="K30" s="1"/>
  <c r="M30" s="1"/>
  <c r="O30" s="1"/>
  <c r="Q30" s="1"/>
  <c r="S30" s="1"/>
  <c r="U30" s="1"/>
  <c r="W30" s="1"/>
  <c r="Y30" s="1"/>
  <c r="AA30" s="1"/>
  <c r="AC30" s="1"/>
  <c r="AE30" s="1"/>
  <c r="AG30" s="1"/>
  <c r="AI30" s="1"/>
  <c r="AK30" s="1"/>
  <c r="AM30" s="1"/>
  <c r="AO30" s="1"/>
  <c r="AQ30" s="1"/>
  <c r="AS30" s="1"/>
  <c r="AU30" s="1"/>
  <c r="AW30" s="1"/>
  <c r="AY30" s="1"/>
  <c r="BA30" s="1"/>
  <c r="BC30" s="1"/>
  <c r="AO29"/>
  <c r="AQ29" s="1"/>
  <c r="AS29" s="1"/>
  <c r="AU29" s="1"/>
  <c r="AW29" s="1"/>
  <c r="AY29" s="1"/>
  <c r="BA29" s="1"/>
  <c r="BC29" s="1"/>
  <c r="Y29"/>
  <c r="AA29" s="1"/>
  <c r="AC29" s="1"/>
  <c r="AE29" s="1"/>
  <c r="AG29" s="1"/>
  <c r="AI29" s="1"/>
  <c r="AK29" s="1"/>
  <c r="AM29" s="1"/>
  <c r="I29"/>
  <c r="K29" s="1"/>
  <c r="M29" s="1"/>
  <c r="O29" s="1"/>
  <c r="Q29" s="1"/>
  <c r="S29" s="1"/>
  <c r="U29" s="1"/>
  <c r="W29" s="1"/>
  <c r="M28"/>
  <c r="O28" s="1"/>
  <c r="Q28" s="1"/>
  <c r="S28" s="1"/>
  <c r="U28" s="1"/>
  <c r="W28" s="1"/>
  <c r="Y28" s="1"/>
  <c r="AA28" s="1"/>
  <c r="AC28" s="1"/>
  <c r="AE28" s="1"/>
  <c r="AG28" s="1"/>
  <c r="AI28" s="1"/>
  <c r="AK28" s="1"/>
  <c r="AM28" s="1"/>
  <c r="AO28" s="1"/>
  <c r="AQ28" s="1"/>
  <c r="AS28" s="1"/>
  <c r="AU28" s="1"/>
  <c r="AW28" s="1"/>
  <c r="AY28" s="1"/>
  <c r="BA28" s="1"/>
  <c r="BC28" s="1"/>
  <c r="K28"/>
  <c r="I28"/>
  <c r="K26"/>
  <c r="M26" s="1"/>
  <c r="O26" s="1"/>
  <c r="Q26" s="1"/>
  <c r="S26" s="1"/>
  <c r="U26" s="1"/>
  <c r="W26" s="1"/>
  <c r="Y26" s="1"/>
  <c r="AA26" s="1"/>
  <c r="AC26" s="1"/>
  <c r="AE26" s="1"/>
  <c r="AG26" s="1"/>
  <c r="AI26" s="1"/>
  <c r="AK26" s="1"/>
  <c r="AM26" s="1"/>
  <c r="AO26" s="1"/>
  <c r="AQ26" s="1"/>
  <c r="AS26" s="1"/>
  <c r="AU26" s="1"/>
  <c r="AW26" s="1"/>
  <c r="AY26" s="1"/>
  <c r="BA26" s="1"/>
  <c r="BC26" s="1"/>
  <c r="I26"/>
  <c r="I25"/>
  <c r="K25" s="1"/>
  <c r="M25" s="1"/>
  <c r="O25" s="1"/>
  <c r="Q25" s="1"/>
  <c r="S25" s="1"/>
  <c r="U25" s="1"/>
  <c r="W25" s="1"/>
  <c r="Y25" s="1"/>
  <c r="AA25" s="1"/>
  <c r="AC25" s="1"/>
  <c r="AE25" s="1"/>
  <c r="AG25" s="1"/>
  <c r="AI25" s="1"/>
  <c r="AK25" s="1"/>
  <c r="AM25" s="1"/>
  <c r="AO25" s="1"/>
  <c r="AQ25" s="1"/>
  <c r="AS25" s="1"/>
  <c r="AU25" s="1"/>
  <c r="AW25" s="1"/>
  <c r="AY25" s="1"/>
  <c r="BA25" s="1"/>
  <c r="BC25" s="1"/>
  <c r="I24"/>
  <c r="K24" s="1"/>
  <c r="M24" s="1"/>
  <c r="O24" s="1"/>
  <c r="Q24" s="1"/>
  <c r="S24" s="1"/>
  <c r="U24" s="1"/>
  <c r="W24" s="1"/>
  <c r="Y24" s="1"/>
  <c r="AA24" s="1"/>
  <c r="AC24" s="1"/>
  <c r="AE24" s="1"/>
  <c r="AG24" s="1"/>
  <c r="AI24" s="1"/>
  <c r="AK24" s="1"/>
  <c r="AM24" s="1"/>
  <c r="AO24" s="1"/>
  <c r="AQ24" s="1"/>
  <c r="AS24" s="1"/>
  <c r="AU24" s="1"/>
  <c r="AW24" s="1"/>
  <c r="AY24" s="1"/>
  <c r="BA24" s="1"/>
  <c r="BC24" s="1"/>
  <c r="Z17"/>
  <c r="AL17" s="1"/>
  <c r="AX17" s="1"/>
  <c r="W17"/>
  <c r="AI17" s="1"/>
  <c r="AU17" s="1"/>
  <c r="AR16"/>
  <c r="AF16"/>
  <c r="T16"/>
  <c r="W14"/>
  <c r="AI14" s="1"/>
  <c r="AU14" s="1"/>
  <c r="E14"/>
  <c r="AR13"/>
  <c r="AF13"/>
  <c r="T13"/>
  <c r="AI12"/>
  <c r="AU12" s="1"/>
  <c r="W12"/>
  <c r="AS9"/>
  <c r="AG9"/>
  <c r="U9"/>
  <c r="P6"/>
  <c r="AZ6" s="1"/>
  <c r="N6"/>
  <c r="AX6" s="1"/>
  <c r="F346" i="10"/>
  <c r="F345"/>
  <c r="J344"/>
  <c r="F344"/>
  <c r="B342"/>
  <c r="K336"/>
  <c r="J331"/>
  <c r="J322"/>
  <c r="J321"/>
  <c r="J320"/>
  <c r="J319"/>
  <c r="J318"/>
  <c r="J315"/>
  <c r="J311"/>
  <c r="J309"/>
  <c r="K305" s="1"/>
  <c r="J249"/>
  <c r="J246"/>
  <c r="J245"/>
  <c r="J244"/>
  <c r="J243"/>
  <c r="J242"/>
  <c r="J241"/>
  <c r="J248" s="1"/>
  <c r="J238"/>
  <c r="J237"/>
  <c r="J236"/>
  <c r="J235"/>
  <c r="J234"/>
  <c r="J233"/>
  <c r="J232"/>
  <c r="J231"/>
  <c r="J230"/>
  <c r="J229"/>
  <c r="J228"/>
  <c r="J227"/>
  <c r="J226"/>
  <c r="J225"/>
  <c r="J222"/>
  <c r="J221"/>
  <c r="J220"/>
  <c r="J219"/>
  <c r="J224" s="1"/>
  <c r="J216"/>
  <c r="J215"/>
  <c r="J214"/>
  <c r="J218" s="1"/>
  <c r="J213"/>
  <c r="J210"/>
  <c r="J209"/>
  <c r="J208"/>
  <c r="J207"/>
  <c r="J206"/>
  <c r="J203"/>
  <c r="J202"/>
  <c r="J201"/>
  <c r="J205" s="1"/>
  <c r="J200"/>
  <c r="J199"/>
  <c r="J198"/>
  <c r="J193"/>
  <c r="J192"/>
  <c r="J191"/>
  <c r="J190"/>
  <c r="J189"/>
  <c r="J188"/>
  <c r="J187"/>
  <c r="J195" s="1"/>
  <c r="J184"/>
  <c r="J183"/>
  <c r="J182"/>
  <c r="J181"/>
  <c r="J180"/>
  <c r="J179"/>
  <c r="J178"/>
  <c r="J177"/>
  <c r="J176"/>
  <c r="J175"/>
  <c r="J174"/>
  <c r="J172"/>
  <c r="J171"/>
  <c r="J170"/>
  <c r="J167"/>
  <c r="J166"/>
  <c r="J165"/>
  <c r="J164"/>
  <c r="J163"/>
  <c r="J169" s="1"/>
  <c r="J160"/>
  <c r="J159"/>
  <c r="J158"/>
  <c r="J157"/>
  <c r="J173"/>
  <c r="J156"/>
  <c r="J155"/>
  <c r="J152"/>
  <c r="J150"/>
  <c r="J149"/>
  <c r="J151"/>
  <c r="J147"/>
  <c r="J146"/>
  <c r="J145"/>
  <c r="J142"/>
  <c r="J141"/>
  <c r="J140"/>
  <c r="J139"/>
  <c r="J138"/>
  <c r="J137"/>
  <c r="J136"/>
  <c r="J131"/>
  <c r="J130"/>
  <c r="J129"/>
  <c r="J128"/>
  <c r="J133" s="1"/>
  <c r="J125"/>
  <c r="J124"/>
  <c r="J123"/>
  <c r="J122"/>
  <c r="J121"/>
  <c r="J120"/>
  <c r="J119"/>
  <c r="J118"/>
  <c r="J127" s="1"/>
  <c r="J117"/>
  <c r="J114"/>
  <c r="J113"/>
  <c r="J106"/>
  <c r="J105"/>
  <c r="J104"/>
  <c r="J103"/>
  <c r="J102"/>
  <c r="J101"/>
  <c r="J98"/>
  <c r="J97"/>
  <c r="J96"/>
  <c r="J95"/>
  <c r="J94"/>
  <c r="J93"/>
  <c r="J92"/>
  <c r="J89"/>
  <c r="J88"/>
  <c r="J87"/>
  <c r="J86"/>
  <c r="J85"/>
  <c r="J84"/>
  <c r="J82"/>
  <c r="J79"/>
  <c r="J78"/>
  <c r="J77"/>
  <c r="J76"/>
  <c r="J75"/>
  <c r="J74"/>
  <c r="J73"/>
  <c r="J72"/>
  <c r="J71"/>
  <c r="J70"/>
  <c r="J69"/>
  <c r="J68"/>
  <c r="J66"/>
  <c r="J62"/>
  <c r="J61"/>
  <c r="J60"/>
  <c r="J59"/>
  <c r="J58"/>
  <c r="J56"/>
  <c r="J53"/>
  <c r="J52"/>
  <c r="J51"/>
  <c r="J47"/>
  <c r="J46"/>
  <c r="J45"/>
  <c r="J44"/>
  <c r="J43"/>
  <c r="J42"/>
  <c r="J41"/>
  <c r="J40"/>
  <c r="J39"/>
  <c r="J37"/>
  <c r="J36"/>
  <c r="J35"/>
  <c r="J34"/>
  <c r="K29" s="1"/>
  <c r="AN6" i="11" l="1"/>
  <c r="AL6"/>
  <c r="Z6"/>
  <c r="G63"/>
  <c r="V63"/>
  <c r="N63"/>
  <c r="E63"/>
  <c r="BB63"/>
  <c r="F63"/>
  <c r="J83" i="10"/>
  <c r="J91" s="1"/>
  <c r="K84" s="1"/>
  <c r="J324"/>
  <c r="J240"/>
  <c r="K233" s="1"/>
  <c r="J162"/>
  <c r="K156" s="1"/>
  <c r="J144"/>
  <c r="K142" s="1"/>
  <c r="J108"/>
  <c r="K105" s="1"/>
  <c r="J100"/>
  <c r="K94" s="1"/>
  <c r="J186"/>
  <c r="K175" s="1"/>
  <c r="J55"/>
  <c r="K52" s="1"/>
  <c r="J50"/>
  <c r="K39" s="1"/>
  <c r="K28"/>
  <c r="K26"/>
  <c r="K24"/>
  <c r="AT63" i="11"/>
  <c r="AL63"/>
  <c r="AD63"/>
  <c r="AB6"/>
  <c r="L63"/>
  <c r="T63"/>
  <c r="AB63"/>
  <c r="AJ63"/>
  <c r="AR63"/>
  <c r="AZ63"/>
  <c r="J63"/>
  <c r="AP63"/>
  <c r="Z63"/>
  <c r="AX63"/>
  <c r="H63"/>
  <c r="P63"/>
  <c r="X63"/>
  <c r="AF63"/>
  <c r="AN63"/>
  <c r="AV63"/>
  <c r="R63"/>
  <c r="AH63"/>
  <c r="K246" i="10"/>
  <c r="K242"/>
  <c r="K241"/>
  <c r="K243"/>
  <c r="K244"/>
  <c r="K245"/>
  <c r="K191"/>
  <c r="K187"/>
  <c r="K192"/>
  <c r="K188"/>
  <c r="K189"/>
  <c r="K193"/>
  <c r="K190"/>
  <c r="K166"/>
  <c r="K167"/>
  <c r="K163"/>
  <c r="K164"/>
  <c r="K165"/>
  <c r="K215"/>
  <c r="K216"/>
  <c r="K213"/>
  <c r="K214"/>
  <c r="K95"/>
  <c r="K202"/>
  <c r="K198"/>
  <c r="K201"/>
  <c r="K203"/>
  <c r="K199"/>
  <c r="K200"/>
  <c r="K220"/>
  <c r="K219"/>
  <c r="K221"/>
  <c r="K222"/>
  <c r="K124"/>
  <c r="K120"/>
  <c r="K119"/>
  <c r="K125"/>
  <c r="K121"/>
  <c r="K117"/>
  <c r="K122"/>
  <c r="K118"/>
  <c r="K123"/>
  <c r="K129"/>
  <c r="K128"/>
  <c r="K130"/>
  <c r="K131"/>
  <c r="J154"/>
  <c r="J212"/>
  <c r="K307"/>
  <c r="K306"/>
  <c r="K23"/>
  <c r="K32"/>
  <c r="J148"/>
  <c r="K304"/>
  <c r="K31"/>
  <c r="K30"/>
  <c r="N6" i="4"/>
  <c r="K25" i="6"/>
  <c r="N276" i="4"/>
  <c r="M276"/>
  <c r="K276"/>
  <c r="H276"/>
  <c r="J270"/>
  <c r="I270"/>
  <c r="N275"/>
  <c r="M275"/>
  <c r="K275"/>
  <c r="H275"/>
  <c r="N274"/>
  <c r="M274"/>
  <c r="K274"/>
  <c r="H274"/>
  <c r="N273"/>
  <c r="M273"/>
  <c r="K273"/>
  <c r="H273"/>
  <c r="N272"/>
  <c r="M272"/>
  <c r="K272"/>
  <c r="H272"/>
  <c r="N271"/>
  <c r="M271"/>
  <c r="K271"/>
  <c r="H271"/>
  <c r="N270"/>
  <c r="M270"/>
  <c r="H270"/>
  <c r="N268"/>
  <c r="M268"/>
  <c r="K268"/>
  <c r="H268"/>
  <c r="N267"/>
  <c r="M267"/>
  <c r="K267"/>
  <c r="H267"/>
  <c r="N266"/>
  <c r="M266"/>
  <c r="K266"/>
  <c r="H266"/>
  <c r="N265"/>
  <c r="M265"/>
  <c r="K265"/>
  <c r="H265"/>
  <c r="N264"/>
  <c r="M264"/>
  <c r="K264"/>
  <c r="H264"/>
  <c r="N263"/>
  <c r="M263"/>
  <c r="K263"/>
  <c r="H263"/>
  <c r="N262"/>
  <c r="M262"/>
  <c r="K262"/>
  <c r="H262"/>
  <c r="N261"/>
  <c r="M261"/>
  <c r="K261"/>
  <c r="H261"/>
  <c r="N260"/>
  <c r="M260"/>
  <c r="K260"/>
  <c r="H260"/>
  <c r="N255"/>
  <c r="M255"/>
  <c r="K255"/>
  <c r="H255"/>
  <c r="N254"/>
  <c r="M254"/>
  <c r="K254"/>
  <c r="H254"/>
  <c r="N253"/>
  <c r="M253"/>
  <c r="K253"/>
  <c r="H253"/>
  <c r="N252"/>
  <c r="M252"/>
  <c r="K252"/>
  <c r="N251"/>
  <c r="M251"/>
  <c r="K251"/>
  <c r="N250"/>
  <c r="M250"/>
  <c r="K250"/>
  <c r="F246"/>
  <c r="F247" s="1"/>
  <c r="N249"/>
  <c r="M249"/>
  <c r="K249"/>
  <c r="N248"/>
  <c r="M248"/>
  <c r="K248"/>
  <c r="N247"/>
  <c r="M247"/>
  <c r="K247"/>
  <c r="N246"/>
  <c r="M246"/>
  <c r="K246"/>
  <c r="N245"/>
  <c r="M245"/>
  <c r="K245"/>
  <c r="H245"/>
  <c r="N239"/>
  <c r="M239"/>
  <c r="K239"/>
  <c r="H239"/>
  <c r="N238"/>
  <c r="M238"/>
  <c r="K238"/>
  <c r="H238"/>
  <c r="N237"/>
  <c r="M237"/>
  <c r="K237"/>
  <c r="H237"/>
  <c r="N236"/>
  <c r="M236"/>
  <c r="K236"/>
  <c r="H236"/>
  <c r="N235"/>
  <c r="M235"/>
  <c r="K235"/>
  <c r="H235"/>
  <c r="N234"/>
  <c r="M234"/>
  <c r="K234"/>
  <c r="H234"/>
  <c r="N233"/>
  <c r="M233"/>
  <c r="K233"/>
  <c r="H233"/>
  <c r="N232"/>
  <c r="M232"/>
  <c r="K232"/>
  <c r="H232"/>
  <c r="N231"/>
  <c r="M231"/>
  <c r="K231"/>
  <c r="H231"/>
  <c r="N230"/>
  <c r="M230"/>
  <c r="K230"/>
  <c r="H230"/>
  <c r="N229"/>
  <c r="M229"/>
  <c r="K229"/>
  <c r="H229"/>
  <c r="N228"/>
  <c r="M228"/>
  <c r="K228"/>
  <c r="H228"/>
  <c r="N227"/>
  <c r="M227"/>
  <c r="K227"/>
  <c r="H227"/>
  <c r="N226"/>
  <c r="M226"/>
  <c r="K226"/>
  <c r="H226"/>
  <c r="N225"/>
  <c r="M225"/>
  <c r="K225"/>
  <c r="H225"/>
  <c r="N224"/>
  <c r="M224"/>
  <c r="K224"/>
  <c r="H224"/>
  <c r="N223"/>
  <c r="M223"/>
  <c r="K223"/>
  <c r="H223"/>
  <c r="N222"/>
  <c r="M222"/>
  <c r="K222"/>
  <c r="H222"/>
  <c r="N221"/>
  <c r="M221"/>
  <c r="K221"/>
  <c r="H221"/>
  <c r="N220"/>
  <c r="M220"/>
  <c r="K220"/>
  <c r="H220"/>
  <c r="N219"/>
  <c r="M219"/>
  <c r="K219"/>
  <c r="H219"/>
  <c r="H160"/>
  <c r="N217"/>
  <c r="M217"/>
  <c r="K217"/>
  <c r="H217"/>
  <c r="N216"/>
  <c r="M216"/>
  <c r="K216"/>
  <c r="H216"/>
  <c r="N215"/>
  <c r="M215"/>
  <c r="K215"/>
  <c r="H215"/>
  <c r="N214"/>
  <c r="M214"/>
  <c r="K214"/>
  <c r="H214"/>
  <c r="N213"/>
  <c r="M213"/>
  <c r="K213"/>
  <c r="H213"/>
  <c r="N212"/>
  <c r="M212"/>
  <c r="K212"/>
  <c r="H212"/>
  <c r="N211"/>
  <c r="M211"/>
  <c r="K211"/>
  <c r="H211"/>
  <c r="N210"/>
  <c r="M210"/>
  <c r="K210"/>
  <c r="H210"/>
  <c r="N209"/>
  <c r="M209"/>
  <c r="K209"/>
  <c r="H209"/>
  <c r="N208"/>
  <c r="M208"/>
  <c r="K208"/>
  <c r="H208"/>
  <c r="N207"/>
  <c r="M207"/>
  <c r="K207"/>
  <c r="H207"/>
  <c r="N206"/>
  <c r="M206"/>
  <c r="K206"/>
  <c r="N205"/>
  <c r="M205"/>
  <c r="K205"/>
  <c r="H205"/>
  <c r="N204"/>
  <c r="M204"/>
  <c r="K204"/>
  <c r="H204"/>
  <c r="N203"/>
  <c r="M203"/>
  <c r="K203"/>
  <c r="H203"/>
  <c r="N202"/>
  <c r="M202"/>
  <c r="K202"/>
  <c r="H202"/>
  <c r="N201"/>
  <c r="M201"/>
  <c r="K201"/>
  <c r="H201"/>
  <c r="N200"/>
  <c r="M200"/>
  <c r="K200"/>
  <c r="N199"/>
  <c r="M199"/>
  <c r="K199"/>
  <c r="H199"/>
  <c r="N197"/>
  <c r="M197"/>
  <c r="K197"/>
  <c r="H197"/>
  <c r="N196"/>
  <c r="M196"/>
  <c r="K196"/>
  <c r="H196"/>
  <c r="N195"/>
  <c r="M195"/>
  <c r="K195"/>
  <c r="H195"/>
  <c r="N194"/>
  <c r="M194"/>
  <c r="K194"/>
  <c r="H194"/>
  <c r="F190"/>
  <c r="F189"/>
  <c r="H189" s="1"/>
  <c r="N192"/>
  <c r="M192"/>
  <c r="K192"/>
  <c r="N193"/>
  <c r="M193"/>
  <c r="K193"/>
  <c r="N191"/>
  <c r="M191"/>
  <c r="K191"/>
  <c r="N190"/>
  <c r="M190"/>
  <c r="K190"/>
  <c r="N189"/>
  <c r="M189"/>
  <c r="K189"/>
  <c r="H187"/>
  <c r="N188"/>
  <c r="M188"/>
  <c r="K188"/>
  <c r="N187"/>
  <c r="M187"/>
  <c r="K187"/>
  <c r="N186"/>
  <c r="M186"/>
  <c r="K186"/>
  <c r="H186"/>
  <c r="N185"/>
  <c r="M185"/>
  <c r="K185"/>
  <c r="H185"/>
  <c r="N184"/>
  <c r="M184"/>
  <c r="K184"/>
  <c r="H184"/>
  <c r="N179"/>
  <c r="M179"/>
  <c r="K179"/>
  <c r="H179"/>
  <c r="N178"/>
  <c r="M178"/>
  <c r="K178"/>
  <c r="H178"/>
  <c r="N177"/>
  <c r="M177"/>
  <c r="K177"/>
  <c r="H177"/>
  <c r="N176"/>
  <c r="M176"/>
  <c r="K176"/>
  <c r="H176"/>
  <c r="N175"/>
  <c r="M175"/>
  <c r="K175"/>
  <c r="H175"/>
  <c r="N174"/>
  <c r="M174"/>
  <c r="K174"/>
  <c r="H174"/>
  <c r="N173"/>
  <c r="M173"/>
  <c r="N172"/>
  <c r="M172"/>
  <c r="K172"/>
  <c r="H172"/>
  <c r="N171"/>
  <c r="M171"/>
  <c r="K171"/>
  <c r="H171"/>
  <c r="N170"/>
  <c r="M170"/>
  <c r="K170"/>
  <c r="H170"/>
  <c r="N169"/>
  <c r="M169"/>
  <c r="K169"/>
  <c r="H169"/>
  <c r="N168"/>
  <c r="M168"/>
  <c r="F155"/>
  <c r="H155" s="1"/>
  <c r="N156"/>
  <c r="N158"/>
  <c r="N159"/>
  <c r="N160"/>
  <c r="N161"/>
  <c r="N162"/>
  <c r="N163"/>
  <c r="N164"/>
  <c r="N165"/>
  <c r="N166"/>
  <c r="N167"/>
  <c r="M156"/>
  <c r="M158"/>
  <c r="M159"/>
  <c r="M160"/>
  <c r="M161"/>
  <c r="M162"/>
  <c r="M163"/>
  <c r="M164"/>
  <c r="M165"/>
  <c r="M166"/>
  <c r="M167"/>
  <c r="K156"/>
  <c r="K158"/>
  <c r="K159"/>
  <c r="K160"/>
  <c r="K161"/>
  <c r="K163"/>
  <c r="K164"/>
  <c r="K165"/>
  <c r="K166"/>
  <c r="K167"/>
  <c r="H158"/>
  <c r="H159"/>
  <c r="H163"/>
  <c r="H164"/>
  <c r="H165"/>
  <c r="H166"/>
  <c r="H167"/>
  <c r="N155"/>
  <c r="M155"/>
  <c r="K155"/>
  <c r="N126"/>
  <c r="N127"/>
  <c r="M126"/>
  <c r="M127"/>
  <c r="K126"/>
  <c r="K127"/>
  <c r="H126"/>
  <c r="H127"/>
  <c r="M133"/>
  <c r="M134"/>
  <c r="M135"/>
  <c r="M136"/>
  <c r="M139"/>
  <c r="M152"/>
  <c r="N152"/>
  <c r="K152"/>
  <c r="H152"/>
  <c r="N133"/>
  <c r="N134"/>
  <c r="N135"/>
  <c r="N136"/>
  <c r="K134"/>
  <c r="K135"/>
  <c r="H134"/>
  <c r="H135"/>
  <c r="N147"/>
  <c r="N148"/>
  <c r="N149"/>
  <c r="N150"/>
  <c r="N151"/>
  <c r="N153"/>
  <c r="M147"/>
  <c r="M148"/>
  <c r="M149"/>
  <c r="M150"/>
  <c r="M151"/>
  <c r="M153"/>
  <c r="K147"/>
  <c r="K148"/>
  <c r="K149"/>
  <c r="K150"/>
  <c r="K151"/>
  <c r="K153"/>
  <c r="H147"/>
  <c r="H148"/>
  <c r="H149"/>
  <c r="H150"/>
  <c r="H151"/>
  <c r="H153"/>
  <c r="H190" l="1"/>
  <c r="F252"/>
  <c r="H252" s="1"/>
  <c r="M269"/>
  <c r="I63" i="11"/>
  <c r="K63" s="1"/>
  <c r="K322" i="10"/>
  <c r="K318"/>
  <c r="K320"/>
  <c r="K321"/>
  <c r="K319"/>
  <c r="K231"/>
  <c r="K227"/>
  <c r="K236"/>
  <c r="K238"/>
  <c r="K234"/>
  <c r="K230"/>
  <c r="J251"/>
  <c r="K232"/>
  <c r="K228"/>
  <c r="K226"/>
  <c r="K237"/>
  <c r="K229"/>
  <c r="K225"/>
  <c r="K235"/>
  <c r="K157"/>
  <c r="K158"/>
  <c r="K155"/>
  <c r="K159"/>
  <c r="K160"/>
  <c r="K136"/>
  <c r="K140"/>
  <c r="K138"/>
  <c r="K139"/>
  <c r="K137"/>
  <c r="K141"/>
  <c r="K106"/>
  <c r="K103"/>
  <c r="K102"/>
  <c r="K104"/>
  <c r="K101"/>
  <c r="K97"/>
  <c r="K98"/>
  <c r="K92"/>
  <c r="K93"/>
  <c r="K96"/>
  <c r="K88"/>
  <c r="K85"/>
  <c r="K82"/>
  <c r="K86"/>
  <c r="K83"/>
  <c r="K89"/>
  <c r="K87"/>
  <c r="K183"/>
  <c r="K179"/>
  <c r="K172"/>
  <c r="K178"/>
  <c r="K181"/>
  <c r="K177"/>
  <c r="K180"/>
  <c r="K174"/>
  <c r="K182"/>
  <c r="K173"/>
  <c r="K170"/>
  <c r="K176"/>
  <c r="K171"/>
  <c r="K184"/>
  <c r="K53"/>
  <c r="K51"/>
  <c r="K45"/>
  <c r="K41"/>
  <c r="K37"/>
  <c r="K48"/>
  <c r="K46"/>
  <c r="K42"/>
  <c r="K40"/>
  <c r="K38"/>
  <c r="K36"/>
  <c r="K43"/>
  <c r="K47"/>
  <c r="K44"/>
  <c r="K35"/>
  <c r="K150"/>
  <c r="K147"/>
  <c r="K145"/>
  <c r="K149"/>
  <c r="K151"/>
  <c r="K148"/>
  <c r="K152"/>
  <c r="K146"/>
  <c r="K210"/>
  <c r="K207"/>
  <c r="K208"/>
  <c r="K209"/>
  <c r="K206"/>
  <c r="J197"/>
  <c r="K269" i="4"/>
  <c r="H269"/>
  <c r="K259"/>
  <c r="K22" i="6" s="1"/>
  <c r="M259" i="4"/>
  <c r="N259" s="1"/>
  <c r="K270"/>
  <c r="H247"/>
  <c r="H246"/>
  <c r="F191"/>
  <c r="H191" s="1"/>
  <c r="F156"/>
  <c r="H156" s="1"/>
  <c r="K22" i="11" l="1"/>
  <c r="K277" i="4"/>
  <c r="K24" i="6" s="1"/>
  <c r="J23"/>
  <c r="K23"/>
  <c r="N269" i="4"/>
  <c r="M277"/>
  <c r="N277" s="1"/>
  <c r="H277"/>
  <c r="J24" i="6" s="1"/>
  <c r="M63" i="11"/>
  <c r="M22"/>
  <c r="L23" i="6" l="1"/>
  <c r="M23" s="1"/>
  <c r="L24"/>
  <c r="M24" s="1"/>
  <c r="O63" i="11"/>
  <c r="O22"/>
  <c r="H161" i="4"/>
  <c r="Q22" i="11" l="1"/>
  <c r="Q63"/>
  <c r="N144" i="4"/>
  <c r="N145"/>
  <c r="N146"/>
  <c r="M144"/>
  <c r="M145"/>
  <c r="M146"/>
  <c r="K144"/>
  <c r="K145"/>
  <c r="K146"/>
  <c r="H144"/>
  <c r="H145"/>
  <c r="H146"/>
  <c r="N143"/>
  <c r="M143"/>
  <c r="K143"/>
  <c r="H143"/>
  <c r="N139"/>
  <c r="K139"/>
  <c r="K136"/>
  <c r="H136"/>
  <c r="H139"/>
  <c r="N142"/>
  <c r="M142"/>
  <c r="K142"/>
  <c r="H142"/>
  <c r="M128"/>
  <c r="M129"/>
  <c r="M130"/>
  <c r="M131"/>
  <c r="M132"/>
  <c r="M141"/>
  <c r="N128"/>
  <c r="N129"/>
  <c r="N130"/>
  <c r="N131"/>
  <c r="N132"/>
  <c r="N141"/>
  <c r="K141"/>
  <c r="K128"/>
  <c r="K129"/>
  <c r="K130"/>
  <c r="K131"/>
  <c r="K132"/>
  <c r="K133"/>
  <c r="H128"/>
  <c r="H129"/>
  <c r="H130"/>
  <c r="H131"/>
  <c r="H132"/>
  <c r="H133"/>
  <c r="H141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N102"/>
  <c r="M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02"/>
  <c r="H103"/>
  <c r="J261" i="10" s="1"/>
  <c r="H104" i="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02"/>
  <c r="J252" i="10" s="1"/>
  <c r="L5" i="5"/>
  <c r="L24"/>
  <c r="L23"/>
  <c r="L22"/>
  <c r="L21"/>
  <c r="L20"/>
  <c r="L18"/>
  <c r="L16"/>
  <c r="L15"/>
  <c r="L14"/>
  <c r="L13"/>
  <c r="L11"/>
  <c r="L8"/>
  <c r="L6"/>
  <c r="O28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5"/>
  <c r="P5" s="1"/>
  <c r="M9" i="4"/>
  <c r="P6" i="5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N22" i="4"/>
  <c r="M18"/>
  <c r="N18"/>
  <c r="M28" i="5"/>
  <c r="J260" i="10" l="1"/>
  <c r="J255"/>
  <c r="J258"/>
  <c r="S63" i="11"/>
  <c r="S22"/>
  <c r="K154" i="4"/>
  <c r="K21" i="6" s="1"/>
  <c r="M154" i="4"/>
  <c r="N154" s="1"/>
  <c r="H154"/>
  <c r="J21" i="6" s="1"/>
  <c r="H96" i="4"/>
  <c r="F95"/>
  <c r="F94"/>
  <c r="F92"/>
  <c r="H97"/>
  <c r="H98"/>
  <c r="H99"/>
  <c r="K93"/>
  <c r="K94"/>
  <c r="K95"/>
  <c r="K96"/>
  <c r="K97"/>
  <c r="K98"/>
  <c r="K99"/>
  <c r="K92"/>
  <c r="M93"/>
  <c r="M94"/>
  <c r="M95"/>
  <c r="M96"/>
  <c r="M97"/>
  <c r="M98"/>
  <c r="M99"/>
  <c r="M92"/>
  <c r="N93"/>
  <c r="N94"/>
  <c r="N95"/>
  <c r="N96"/>
  <c r="N97"/>
  <c r="N98"/>
  <c r="N99"/>
  <c r="N92"/>
  <c r="F87"/>
  <c r="H87" s="1"/>
  <c r="F86"/>
  <c r="H86" s="1"/>
  <c r="F79"/>
  <c r="H79" s="1"/>
  <c r="F78"/>
  <c r="F85" s="1"/>
  <c r="H85" s="1"/>
  <c r="N79"/>
  <c r="N80"/>
  <c r="N81"/>
  <c r="N82"/>
  <c r="N83"/>
  <c r="N84"/>
  <c r="N85"/>
  <c r="N86"/>
  <c r="N87"/>
  <c r="N88"/>
  <c r="N89"/>
  <c r="N90"/>
  <c r="N78"/>
  <c r="M79"/>
  <c r="M80"/>
  <c r="M81"/>
  <c r="M82"/>
  <c r="M83"/>
  <c r="M84"/>
  <c r="M85"/>
  <c r="M86"/>
  <c r="M87"/>
  <c r="M88"/>
  <c r="M89"/>
  <c r="M90"/>
  <c r="M78"/>
  <c r="K79"/>
  <c r="K80"/>
  <c r="K81"/>
  <c r="K82"/>
  <c r="K83"/>
  <c r="K84"/>
  <c r="K85"/>
  <c r="K86"/>
  <c r="K87"/>
  <c r="K88"/>
  <c r="K89"/>
  <c r="K90"/>
  <c r="K78"/>
  <c r="H83"/>
  <c r="H88"/>
  <c r="H89"/>
  <c r="H90"/>
  <c r="F69"/>
  <c r="L17" i="5" s="1"/>
  <c r="N70" i="4"/>
  <c r="N71"/>
  <c r="N72"/>
  <c r="N73"/>
  <c r="N74"/>
  <c r="N75"/>
  <c r="N76"/>
  <c r="N69"/>
  <c r="N60"/>
  <c r="N61"/>
  <c r="N62"/>
  <c r="N63"/>
  <c r="N64"/>
  <c r="N65"/>
  <c r="N66"/>
  <c r="N67"/>
  <c r="N59"/>
  <c r="M70"/>
  <c r="M71"/>
  <c r="M72"/>
  <c r="M73"/>
  <c r="M74"/>
  <c r="M75"/>
  <c r="M76"/>
  <c r="M69"/>
  <c r="M60"/>
  <c r="M61"/>
  <c r="M62"/>
  <c r="M63"/>
  <c r="M64"/>
  <c r="M65"/>
  <c r="M66"/>
  <c r="M67"/>
  <c r="M59"/>
  <c r="K70"/>
  <c r="K71"/>
  <c r="K72"/>
  <c r="K73"/>
  <c r="K74"/>
  <c r="K75"/>
  <c r="K76"/>
  <c r="K69"/>
  <c r="H72"/>
  <c r="H73"/>
  <c r="H74"/>
  <c r="H75"/>
  <c r="H76"/>
  <c r="H63"/>
  <c r="H62"/>
  <c r="H61"/>
  <c r="H60"/>
  <c r="H67"/>
  <c r="H64"/>
  <c r="H65"/>
  <c r="H66"/>
  <c r="H59"/>
  <c r="K60"/>
  <c r="K61"/>
  <c r="K62"/>
  <c r="K63"/>
  <c r="K64"/>
  <c r="K65"/>
  <c r="K66"/>
  <c r="K67"/>
  <c r="K59"/>
  <c r="N56"/>
  <c r="N57"/>
  <c r="N55"/>
  <c r="M56"/>
  <c r="M57"/>
  <c r="M55"/>
  <c r="K56"/>
  <c r="K57"/>
  <c r="K55"/>
  <c r="H56"/>
  <c r="H57"/>
  <c r="N52"/>
  <c r="N53"/>
  <c r="N51"/>
  <c r="M52"/>
  <c r="M53"/>
  <c r="M51"/>
  <c r="H52"/>
  <c r="H53"/>
  <c r="K52"/>
  <c r="K53"/>
  <c r="K51"/>
  <c r="N45"/>
  <c r="N46"/>
  <c r="N47"/>
  <c r="N48"/>
  <c r="N49"/>
  <c r="N44"/>
  <c r="M45"/>
  <c r="M46"/>
  <c r="M47"/>
  <c r="M48"/>
  <c r="M49"/>
  <c r="M44"/>
  <c r="K48"/>
  <c r="K49"/>
  <c r="H48"/>
  <c r="H49"/>
  <c r="F47"/>
  <c r="F45"/>
  <c r="H45" s="1"/>
  <c r="F44"/>
  <c r="H112" i="10" s="1"/>
  <c r="I112"/>
  <c r="K45" i="4"/>
  <c r="K46"/>
  <c r="K47"/>
  <c r="K44"/>
  <c r="L21" i="6" l="1"/>
  <c r="M21" s="1"/>
  <c r="H46" i="4"/>
  <c r="I111" i="10"/>
  <c r="J111" s="1"/>
  <c r="H92" i="4"/>
  <c r="H310" i="10"/>
  <c r="J310" s="1"/>
  <c r="F250" i="4"/>
  <c r="H312" i="10"/>
  <c r="J312" s="1"/>
  <c r="H313"/>
  <c r="J313" s="1"/>
  <c r="H314"/>
  <c r="J314" s="1"/>
  <c r="J112"/>
  <c r="U22" i="11"/>
  <c r="U63"/>
  <c r="F248" i="4"/>
  <c r="H95"/>
  <c r="F188"/>
  <c r="H188" s="1"/>
  <c r="H94"/>
  <c r="F192"/>
  <c r="H192" s="1"/>
  <c r="F193"/>
  <c r="H193" s="1"/>
  <c r="K54"/>
  <c r="K15" i="6" s="1"/>
  <c r="K100" i="4"/>
  <c r="K20" i="6" s="1"/>
  <c r="K91" i="4"/>
  <c r="K19" i="6" s="1"/>
  <c r="H93" i="4"/>
  <c r="F80"/>
  <c r="H80" s="1"/>
  <c r="F84"/>
  <c r="H84" s="1"/>
  <c r="H78"/>
  <c r="H44"/>
  <c r="K50"/>
  <c r="K14" i="6" s="1"/>
  <c r="K58" i="4"/>
  <c r="K16" i="6" s="1"/>
  <c r="K68" i="4"/>
  <c r="M54"/>
  <c r="N54" s="1"/>
  <c r="M68"/>
  <c r="N68" s="1"/>
  <c r="F70"/>
  <c r="H70" s="1"/>
  <c r="F71"/>
  <c r="H71" s="1"/>
  <c r="H69"/>
  <c r="M100"/>
  <c r="N100" s="1"/>
  <c r="M91"/>
  <c r="N91" s="1"/>
  <c r="M77"/>
  <c r="N77" s="1"/>
  <c r="K77"/>
  <c r="K18" i="6" s="1"/>
  <c r="H68" i="4"/>
  <c r="J17" i="6" s="1"/>
  <c r="M58" i="4"/>
  <c r="N58" s="1"/>
  <c r="M50"/>
  <c r="N50" s="1"/>
  <c r="H47"/>
  <c r="H250" l="1"/>
  <c r="F251"/>
  <c r="H251" s="1"/>
  <c r="J317" i="10"/>
  <c r="K313" s="1"/>
  <c r="J279"/>
  <c r="J116"/>
  <c r="J135" s="1"/>
  <c r="K17" i="6"/>
  <c r="J274" i="10"/>
  <c r="W63" i="11"/>
  <c r="W22"/>
  <c r="H248" i="4"/>
  <c r="F249"/>
  <c r="H100"/>
  <c r="J20" i="6" s="1"/>
  <c r="L20" s="1"/>
  <c r="M20" s="1"/>
  <c r="H50" i="4"/>
  <c r="J14" i="6" s="1"/>
  <c r="L14" s="1"/>
  <c r="M14" s="1"/>
  <c r="H77" i="4"/>
  <c r="J18" i="6" s="1"/>
  <c r="L18" s="1"/>
  <c r="M18" s="1"/>
  <c r="N42" i="4"/>
  <c r="M42"/>
  <c r="K42"/>
  <c r="H42"/>
  <c r="N41"/>
  <c r="M41"/>
  <c r="K41"/>
  <c r="H37"/>
  <c r="F36"/>
  <c r="H36" s="1"/>
  <c r="F35"/>
  <c r="H35" s="1"/>
  <c r="F34"/>
  <c r="H34" s="1"/>
  <c r="K34"/>
  <c r="K35"/>
  <c r="K36"/>
  <c r="K37"/>
  <c r="K38"/>
  <c r="K39"/>
  <c r="H38"/>
  <c r="H39"/>
  <c r="K33"/>
  <c r="K6"/>
  <c r="K9"/>
  <c r="K11"/>
  <c r="K13"/>
  <c r="K18"/>
  <c r="K29"/>
  <c r="K21"/>
  <c r="M34"/>
  <c r="M35"/>
  <c r="M36"/>
  <c r="M37"/>
  <c r="M38"/>
  <c r="M39"/>
  <c r="N34"/>
  <c r="N35"/>
  <c r="N36"/>
  <c r="N37"/>
  <c r="N38"/>
  <c r="N39"/>
  <c r="N33"/>
  <c r="M33"/>
  <c r="F26"/>
  <c r="H26" s="1"/>
  <c r="H24"/>
  <c r="H29"/>
  <c r="H11"/>
  <c r="H18"/>
  <c r="F16"/>
  <c r="H16" s="1"/>
  <c r="F15"/>
  <c r="H15" s="1"/>
  <c r="F14"/>
  <c r="H14" s="1"/>
  <c r="H13"/>
  <c r="H12"/>
  <c r="H10"/>
  <c r="M22"/>
  <c r="M23"/>
  <c r="M24"/>
  <c r="M25"/>
  <c r="M26"/>
  <c r="M27"/>
  <c r="M28"/>
  <c r="M29"/>
  <c r="M30"/>
  <c r="M31"/>
  <c r="M21"/>
  <c r="N21" s="1"/>
  <c r="N23"/>
  <c r="N24"/>
  <c r="N25"/>
  <c r="N26"/>
  <c r="N27"/>
  <c r="N28"/>
  <c r="N30"/>
  <c r="N31"/>
  <c r="N7"/>
  <c r="N10"/>
  <c r="N14"/>
  <c r="N15"/>
  <c r="N16"/>
  <c r="N17"/>
  <c r="N19"/>
  <c r="M7"/>
  <c r="N9"/>
  <c r="M10"/>
  <c r="M11"/>
  <c r="N11" s="1"/>
  <c r="M12"/>
  <c r="N12" s="1"/>
  <c r="M14"/>
  <c r="M15"/>
  <c r="M16"/>
  <c r="M17"/>
  <c r="M19"/>
  <c r="K22"/>
  <c r="K23"/>
  <c r="K24"/>
  <c r="K25"/>
  <c r="K26"/>
  <c r="K27"/>
  <c r="K28"/>
  <c r="K30"/>
  <c r="K31"/>
  <c r="H23"/>
  <c r="H27"/>
  <c r="H28"/>
  <c r="H30"/>
  <c r="H31"/>
  <c r="K7"/>
  <c r="K8"/>
  <c r="K10"/>
  <c r="K12"/>
  <c r="K14"/>
  <c r="K15"/>
  <c r="K16"/>
  <c r="K17"/>
  <c r="K19"/>
  <c r="H17"/>
  <c r="H19"/>
  <c r="S24" i="2"/>
  <c r="T24" s="1"/>
  <c r="K112" i="10" l="1"/>
  <c r="K113"/>
  <c r="J294"/>
  <c r="K281" s="1"/>
  <c r="K310"/>
  <c r="K314"/>
  <c r="K312"/>
  <c r="K315"/>
  <c r="K311"/>
  <c r="K111"/>
  <c r="K114"/>
  <c r="L17" i="6"/>
  <c r="M17" s="1"/>
  <c r="H25" i="4"/>
  <c r="H67" i="10"/>
  <c r="J67" s="1"/>
  <c r="J81" s="1"/>
  <c r="Y63" i="11"/>
  <c r="Y22"/>
  <c r="H249" i="4"/>
  <c r="F41"/>
  <c r="H41" s="1"/>
  <c r="H43" s="1"/>
  <c r="J13" i="6" s="1"/>
  <c r="K40" i="4"/>
  <c r="K12" i="6" s="1"/>
  <c r="M43" i="4"/>
  <c r="N43" s="1"/>
  <c r="K43"/>
  <c r="M40"/>
  <c r="N40" s="1"/>
  <c r="M13"/>
  <c r="N13" s="1"/>
  <c r="M8"/>
  <c r="N8" s="1"/>
  <c r="K20"/>
  <c r="K10" i="6" s="1"/>
  <c r="M32" i="4"/>
  <c r="N29"/>
  <c r="K32"/>
  <c r="K11" i="6" s="1"/>
  <c r="U24" i="2"/>
  <c r="V24"/>
  <c r="K13" i="6" l="1"/>
  <c r="K26" s="1"/>
  <c r="K278" i="4"/>
  <c r="J297" i="10"/>
  <c r="J303" s="1"/>
  <c r="K295" s="1"/>
  <c r="K287"/>
  <c r="K283"/>
  <c r="H259" i="4"/>
  <c r="J22" i="6" s="1"/>
  <c r="L22" s="1"/>
  <c r="M22" s="1"/>
  <c r="K284" i="10"/>
  <c r="K272"/>
  <c r="K288"/>
  <c r="K285"/>
  <c r="K282"/>
  <c r="K273"/>
  <c r="K279"/>
  <c r="K278"/>
  <c r="K290"/>
  <c r="K274"/>
  <c r="K291"/>
  <c r="K276"/>
  <c r="K275"/>
  <c r="K289"/>
  <c r="K286"/>
  <c r="K292"/>
  <c r="K280"/>
  <c r="K271"/>
  <c r="K277"/>
  <c r="K67"/>
  <c r="K66"/>
  <c r="K75"/>
  <c r="K76"/>
  <c r="K77"/>
  <c r="K73"/>
  <c r="K65"/>
  <c r="K74"/>
  <c r="K72"/>
  <c r="K71"/>
  <c r="K69"/>
  <c r="K79"/>
  <c r="K68"/>
  <c r="K70"/>
  <c r="K78"/>
  <c r="AA63" i="11"/>
  <c r="AA22"/>
  <c r="N32" i="4"/>
  <c r="K299" i="10" l="1"/>
  <c r="K298"/>
  <c r="K301"/>
  <c r="K297"/>
  <c r="K300"/>
  <c r="K296"/>
  <c r="L13" i="6"/>
  <c r="M13" s="1"/>
  <c r="AC63" i="11"/>
  <c r="AC22"/>
  <c r="S33" i="2"/>
  <c r="V33" s="1"/>
  <c r="S32"/>
  <c r="S31"/>
  <c r="V31" s="1"/>
  <c r="S30"/>
  <c r="H34"/>
  <c r="R14"/>
  <c r="S28" s="1"/>
  <c r="S45"/>
  <c r="R12"/>
  <c r="R13" s="1"/>
  <c r="S27" s="1"/>
  <c r="R9"/>
  <c r="H29"/>
  <c r="H27"/>
  <c r="H26"/>
  <c r="H25"/>
  <c r="H24"/>
  <c r="H18"/>
  <c r="H16"/>
  <c r="H15"/>
  <c r="H13"/>
  <c r="H12"/>
  <c r="T33" l="1"/>
  <c r="U33"/>
  <c r="S23"/>
  <c r="F51" i="4" s="1"/>
  <c r="H51" s="1"/>
  <c r="H54" s="1"/>
  <c r="J15" i="6" s="1"/>
  <c r="L15" s="1"/>
  <c r="M15" s="1"/>
  <c r="L7" i="5"/>
  <c r="L19"/>
  <c r="L12"/>
  <c r="AE63" i="11"/>
  <c r="AE22"/>
  <c r="T32" i="2"/>
  <c r="F33" i="4"/>
  <c r="H33" s="1"/>
  <c r="H40" s="1"/>
  <c r="J12" i="6" s="1"/>
  <c r="L12" s="1"/>
  <c r="M12" s="1"/>
  <c r="T31" i="2"/>
  <c r="F55" i="4"/>
  <c r="H55" s="1"/>
  <c r="H58" s="1"/>
  <c r="J16" i="6" s="1"/>
  <c r="L16" s="1"/>
  <c r="M16" s="1"/>
  <c r="S25" i="2"/>
  <c r="V25" s="1"/>
  <c r="F82" i="4"/>
  <c r="H82" s="1"/>
  <c r="F81"/>
  <c r="H81" s="1"/>
  <c r="U27" i="2"/>
  <c r="T27"/>
  <c r="U31"/>
  <c r="V28"/>
  <c r="U28"/>
  <c r="T28"/>
  <c r="T30"/>
  <c r="V30"/>
  <c r="R10"/>
  <c r="F22" i="4" s="1"/>
  <c r="V32" i="2"/>
  <c r="V27"/>
  <c r="U32"/>
  <c r="U30"/>
  <c r="L28" i="5" l="1"/>
  <c r="J25" i="6" s="1"/>
  <c r="L25" s="1"/>
  <c r="M25" s="1"/>
  <c r="U23" i="2"/>
  <c r="T23"/>
  <c r="V23"/>
  <c r="H22" i="4"/>
  <c r="H57" i="10"/>
  <c r="J57" s="1"/>
  <c r="J64" s="1"/>
  <c r="AG22" i="11"/>
  <c r="AG63"/>
  <c r="T25" i="2"/>
  <c r="F21" i="4"/>
  <c r="H21" s="1"/>
  <c r="S29" i="2"/>
  <c r="H91" i="4"/>
  <c r="J19" i="6" s="1"/>
  <c r="L19" s="1"/>
  <c r="M19" s="1"/>
  <c r="U25" i="2"/>
  <c r="S35" l="1"/>
  <c r="H9" i="4" s="1"/>
  <c r="F9"/>
  <c r="K57" i="10"/>
  <c r="K62"/>
  <c r="K61"/>
  <c r="K60"/>
  <c r="K56"/>
  <c r="K59"/>
  <c r="K58"/>
  <c r="J110"/>
  <c r="H32" i="4"/>
  <c r="AI63" i="11"/>
  <c r="AI22"/>
  <c r="T29" i="2"/>
  <c r="T35" s="1"/>
  <c r="F6" i="4" s="1"/>
  <c r="H6" s="1"/>
  <c r="U29" i="2"/>
  <c r="U35" s="1"/>
  <c r="F7" i="4" s="1"/>
  <c r="H7" s="1"/>
  <c r="V29" i="2"/>
  <c r="V35" s="1"/>
  <c r="F8" i="4" s="1"/>
  <c r="H8" s="1"/>
  <c r="M6"/>
  <c r="J11" i="6" l="1"/>
  <c r="L11" s="1"/>
  <c r="M11" s="1"/>
  <c r="AK22" i="11"/>
  <c r="AK63"/>
  <c r="H20" i="4"/>
  <c r="J10" i="6" s="1"/>
  <c r="M20" i="4"/>
  <c r="N20" s="1"/>
  <c r="H278" l="1"/>
  <c r="M278" s="1"/>
  <c r="N278" s="1"/>
  <c r="L10" i="6"/>
  <c r="M10" s="1"/>
  <c r="J26"/>
  <c r="L26" s="1"/>
  <c r="M26" s="1"/>
  <c r="AM63" i="11"/>
  <c r="AM22"/>
  <c r="AO63" l="1"/>
  <c r="AO22"/>
  <c r="AQ63" l="1"/>
  <c r="AQ22"/>
  <c r="AS22" l="1"/>
  <c r="AS63"/>
  <c r="AU63" l="1"/>
  <c r="AU22"/>
  <c r="AW22" l="1"/>
  <c r="AW63"/>
  <c r="AY63" l="1"/>
  <c r="AY22"/>
  <c r="BA22" l="1"/>
  <c r="BA63"/>
  <c r="BC63" l="1"/>
  <c r="BC22"/>
  <c r="J270" i="10"/>
  <c r="K255" s="1"/>
  <c r="K256" l="1"/>
  <c r="K268"/>
  <c r="K252"/>
  <c r="K266"/>
  <c r="J326"/>
  <c r="J334" s="1"/>
  <c r="L328" s="1"/>
  <c r="K261"/>
  <c r="K254"/>
  <c r="K267"/>
  <c r="K265"/>
  <c r="K260"/>
  <c r="K263"/>
  <c r="K262"/>
  <c r="K264"/>
  <c r="K257"/>
  <c r="K253"/>
  <c r="K259"/>
  <c r="K258"/>
  <c r="L249" l="1"/>
  <c r="J338"/>
  <c r="L162"/>
  <c r="L240"/>
  <c r="L108"/>
  <c r="L324"/>
  <c r="L294"/>
  <c r="L50"/>
  <c r="L248"/>
  <c r="L329"/>
  <c r="L317"/>
  <c r="L154"/>
  <c r="L224"/>
  <c r="L81"/>
  <c r="L327"/>
  <c r="L133"/>
  <c r="L64"/>
  <c r="L55"/>
  <c r="L169"/>
  <c r="L144"/>
  <c r="L195"/>
  <c r="L116"/>
  <c r="L303"/>
  <c r="L205"/>
  <c r="L100"/>
  <c r="L186"/>
  <c r="L270"/>
  <c r="L218"/>
  <c r="L34"/>
  <c r="L309"/>
  <c r="L127"/>
  <c r="L91"/>
  <c r="L212"/>
</calcChain>
</file>

<file path=xl/comments1.xml><?xml version="1.0" encoding="utf-8"?>
<comments xmlns="http://schemas.openxmlformats.org/spreadsheetml/2006/main">
  <authors>
    <author>Um usuário do Microsoft Office satisfeito</author>
    <author>CAIXA ECONOMICA FEDRAL</author>
  </authors>
  <commentList>
    <comment ref="H7" authorId="0">
      <text>
        <r>
          <rPr>
            <sz val="8"/>
            <color indexed="81"/>
            <rFont val="Tahoma"/>
            <family val="2"/>
          </rPr>
          <t>Célula desprotegida</t>
        </r>
      </text>
    </comment>
    <comment ref="J7" authorId="0">
      <text>
        <r>
          <rPr>
            <sz val="8"/>
            <color indexed="81"/>
            <rFont val="Tahoma"/>
            <family val="2"/>
          </rPr>
          <t>Célula desprotegida</t>
        </r>
      </text>
    </comment>
    <comment ref="I10" authorId="1">
      <text>
        <r>
          <rPr>
            <sz val="8"/>
            <color indexed="81"/>
            <rFont val="Tahoma"/>
            <family val="2"/>
          </rPr>
          <t xml:space="preserve">Identificar o tipo da edificação
</t>
        </r>
      </text>
    </comment>
    <comment ref="J12" authorId="0">
      <text>
        <r>
          <rPr>
            <sz val="8"/>
            <color indexed="81"/>
            <rFont val="Tahoma"/>
            <family val="2"/>
          </rPr>
          <t>Célula desprotegida</t>
        </r>
      </text>
    </comment>
    <comment ref="J14" authorId="0">
      <text>
        <r>
          <rPr>
            <sz val="8"/>
            <color indexed="81"/>
            <rFont val="Tahoma"/>
            <family val="2"/>
          </rPr>
          <t>Célula Desprotegida</t>
        </r>
      </text>
    </comment>
    <comment ref="D15" authorId="0">
      <text>
        <r>
          <rPr>
            <sz val="8"/>
            <color indexed="81"/>
            <rFont val="Tahoma"/>
            <family val="2"/>
          </rPr>
          <t>Célula desprotegida</t>
        </r>
      </text>
    </comment>
    <comment ref="J15" authorId="0">
      <text>
        <r>
          <rPr>
            <sz val="8"/>
            <color indexed="81"/>
            <rFont val="Tahoma"/>
            <family val="2"/>
          </rPr>
          <t>Célula Desprotegida</t>
        </r>
      </text>
    </comment>
    <comment ref="D16" authorId="0">
      <text>
        <r>
          <rPr>
            <sz val="8"/>
            <color indexed="81"/>
            <rFont val="Tahoma"/>
            <family val="2"/>
          </rPr>
          <t>Célula desprotegida</t>
        </r>
      </text>
    </comment>
    <comment ref="D18" authorId="0">
      <text>
        <r>
          <rPr>
            <sz val="8"/>
            <color indexed="81"/>
            <rFont val="Tahoma"/>
            <family val="2"/>
          </rPr>
          <t>Célula desprotegida</t>
        </r>
      </text>
    </comment>
    <comment ref="J18" authorId="0">
      <text>
        <r>
          <rPr>
            <sz val="8"/>
            <color indexed="81"/>
            <rFont val="Tahoma"/>
            <family val="2"/>
          </rPr>
          <t>Célula desprotegida</t>
        </r>
      </text>
    </comment>
    <comment ref="D329" authorId="1">
      <text>
        <r>
          <rPr>
            <sz val="8"/>
            <color indexed="81"/>
            <rFont val="Tahoma"/>
            <family val="2"/>
          </rPr>
          <t xml:space="preserve">especificar
</t>
        </r>
      </text>
    </comment>
    <comment ref="J336" authorId="1">
      <text>
        <r>
          <rPr>
            <sz val="8"/>
            <color indexed="81"/>
            <rFont val="Tahoma"/>
            <family val="2"/>
          </rPr>
          <t xml:space="preserve">indique %
</t>
        </r>
      </text>
    </comment>
    <comment ref="B342" authorId="1">
      <text>
        <r>
          <rPr>
            <sz val="8"/>
            <color indexed="81"/>
            <rFont val="Tahoma"/>
            <family val="2"/>
          </rPr>
          <t xml:space="preserve">Digite aqui
</t>
        </r>
      </text>
    </comment>
    <comment ref="E342" authorId="1">
      <text>
        <r>
          <rPr>
            <sz val="8"/>
            <color indexed="81"/>
            <rFont val="Tahoma"/>
            <family val="2"/>
          </rPr>
          <t xml:space="preserve">Digite aqui
</t>
        </r>
      </text>
    </comment>
    <comment ref="J342" authorId="1">
      <text>
        <r>
          <rPr>
            <sz val="8"/>
            <color indexed="81"/>
            <rFont val="Tahoma"/>
            <family val="2"/>
          </rPr>
          <t xml:space="preserve">Digite aqui
</t>
        </r>
      </text>
    </comment>
  </commentList>
</comments>
</file>

<file path=xl/comments2.xml><?xml version="1.0" encoding="utf-8"?>
<comments xmlns="http://schemas.openxmlformats.org/spreadsheetml/2006/main">
  <authors>
    <author>CAIXA ECONOMICA FEDRAL</author>
    <author>Um usuário do Microsoft Office satisfeito</author>
  </authors>
  <commentList>
    <comment ref="N6" authorId="0">
      <text>
        <r>
          <rPr>
            <b/>
            <sz val="8"/>
            <color indexed="81"/>
            <rFont val="Tahoma"/>
            <family val="2"/>
          </rPr>
          <t xml:space="preserve">indicar nome do
Ponto de Venda, Agência ou Escritóio de Negócio
</t>
        </r>
      </text>
    </comment>
    <comment ref="P6" authorId="0">
      <text>
        <r>
          <rPr>
            <sz val="8"/>
            <color indexed="81"/>
            <rFont val="Tahoma"/>
            <family val="2"/>
          </rPr>
          <t xml:space="preserve">indicar 
</t>
        </r>
      </text>
    </comment>
    <comment ref="I9" authorId="0">
      <text>
        <r>
          <rPr>
            <sz val="8"/>
            <color indexed="81"/>
            <rFont val="Tahoma"/>
            <family val="2"/>
          </rPr>
          <t xml:space="preserve">INDICAR O TIPO DA EDIFICAÇÃO
</t>
        </r>
      </text>
    </comment>
    <comment ref="D12" authorId="1">
      <text>
        <r>
          <rPr>
            <sz val="8"/>
            <color indexed="81"/>
            <rFont val="Tahoma"/>
            <family val="2"/>
          </rPr>
          <t>importado da planilha Espelho</t>
        </r>
      </text>
    </comment>
    <comment ref="K12" authorId="1">
      <text>
        <r>
          <rPr>
            <sz val="8"/>
            <color indexed="81"/>
            <rFont val="Tahoma"/>
            <family val="2"/>
          </rPr>
          <t xml:space="preserve">INDICAR  nome da Modalidade
vide opções na planilha ESPELHO
</t>
        </r>
      </text>
    </comment>
    <comment ref="E13" authorId="1">
      <text>
        <r>
          <rPr>
            <sz val="8"/>
            <color indexed="81"/>
            <rFont val="Tahoma"/>
            <family val="2"/>
          </rPr>
          <t>importado da planilha ORÇAMENTO</t>
        </r>
      </text>
    </comment>
    <comment ref="E14" authorId="1">
      <text>
        <r>
          <rPr>
            <sz val="8"/>
            <color indexed="81"/>
            <rFont val="Tahoma"/>
            <family val="2"/>
          </rPr>
          <t>importado da planilha ORÇAMENTO</t>
        </r>
      </text>
    </comment>
    <comment ref="K14" authorId="1">
      <text>
        <r>
          <rPr>
            <sz val="8"/>
            <color indexed="81"/>
            <rFont val="Tahoma"/>
            <family val="2"/>
          </rPr>
          <t>importado da planilha ORÇAMENTO</t>
        </r>
      </text>
    </comment>
    <comment ref="D16" authorId="0">
      <text>
        <r>
          <rPr>
            <sz val="8"/>
            <color indexed="81"/>
            <rFont val="Tahoma"/>
            <family val="2"/>
          </rPr>
          <t xml:space="preserve">INDICAR NOME
</t>
        </r>
      </text>
    </comment>
    <comment ref="E16" authorId="0">
      <text>
        <r>
          <rPr>
            <sz val="8"/>
            <color indexed="81"/>
            <rFont val="Tahoma"/>
            <family val="2"/>
          </rPr>
          <t>INDICAR CGC</t>
        </r>
      </text>
    </comment>
    <comment ref="D17" authorId="0">
      <text>
        <r>
          <rPr>
            <sz val="8"/>
            <color indexed="81"/>
            <rFont val="Tahoma"/>
            <family val="2"/>
          </rPr>
          <t xml:space="preserve">INDICAR NOME
</t>
        </r>
      </text>
    </comment>
    <comment ref="K17" authorId="0">
      <text>
        <r>
          <rPr>
            <sz val="8"/>
            <color indexed="81"/>
            <rFont val="Tahoma"/>
            <family val="2"/>
          </rPr>
          <t>INDICAR Nº</t>
        </r>
      </text>
    </comment>
    <comment ref="N17" authorId="1">
      <text>
        <r>
          <rPr>
            <sz val="8"/>
            <color indexed="81"/>
            <rFont val="Tahoma"/>
            <family val="2"/>
          </rPr>
          <t>INDICAR  número do CREA</t>
        </r>
      </text>
    </comment>
    <comment ref="C66" authorId="1">
      <text>
        <r>
          <rPr>
            <sz val="8"/>
            <color indexed="81"/>
            <rFont val="Tahoma"/>
            <family val="2"/>
          </rPr>
          <t>Entre com a Data</t>
        </r>
      </text>
    </comment>
  </commentList>
</comments>
</file>

<file path=xl/sharedStrings.xml><?xml version="1.0" encoding="utf-8"?>
<sst xmlns="http://schemas.openxmlformats.org/spreadsheetml/2006/main" count="2075" uniqueCount="1147">
  <si>
    <t>Dados Iniciais</t>
  </si>
  <si>
    <t>Área de Construção</t>
  </si>
  <si>
    <t>1.</t>
  </si>
  <si>
    <t>Valor</t>
  </si>
  <si>
    <t>Descrição</t>
  </si>
  <si>
    <t>Banheiros</t>
  </si>
  <si>
    <t>Lavabos</t>
  </si>
  <si>
    <t>Área de Serviço</t>
  </si>
  <si>
    <t>Quartos e Escritórios</t>
  </si>
  <si>
    <t>Salas</t>
  </si>
  <si>
    <t>2.</t>
  </si>
  <si>
    <t>Dados Estruturais</t>
  </si>
  <si>
    <t>Quantidade Estacas (pilares)</t>
  </si>
  <si>
    <t>Gaiolas (sapatas)</t>
  </si>
  <si>
    <t>Espessura das Estacas</t>
  </si>
  <si>
    <t>Profundidade das Estacas</t>
  </si>
  <si>
    <t>Altura das Vigas Baldrames</t>
  </si>
  <si>
    <t>Largura das Vigas Baldrames</t>
  </si>
  <si>
    <t>Software PPOrçamento</t>
  </si>
  <si>
    <t>Quantidade de Paredes (ml) 1ºPAV</t>
  </si>
  <si>
    <t>Altura Pé Direito (m) 1ºPAV</t>
  </si>
  <si>
    <t>Quantidade de Paredes (ml) 2ºPAV</t>
  </si>
  <si>
    <t>Altura Pé Direito (m) 2ºPAV</t>
  </si>
  <si>
    <t>Largura da Calçada (m)</t>
  </si>
  <si>
    <t>Metro linear Calçada (ml)</t>
  </si>
  <si>
    <t>3.</t>
  </si>
  <si>
    <t>Dados do Telhado</t>
  </si>
  <si>
    <t>Área em m2 do Telhado</t>
  </si>
  <si>
    <t>Número de Telhas por m2</t>
  </si>
  <si>
    <t>Metro Linear Total (m)</t>
  </si>
  <si>
    <t>Tipo</t>
  </si>
  <si>
    <t>Colonial Paulista</t>
  </si>
  <si>
    <t>Tégula</t>
  </si>
  <si>
    <t>Portuguesa</t>
  </si>
  <si>
    <t>Romana Plan</t>
  </si>
  <si>
    <t>Americana</t>
  </si>
  <si>
    <t>Francesa</t>
  </si>
  <si>
    <t>Italiana</t>
  </si>
  <si>
    <t>Germânica</t>
  </si>
  <si>
    <t>Uruguaia</t>
  </si>
  <si>
    <t>Holandesa</t>
  </si>
  <si>
    <t>Plan</t>
  </si>
  <si>
    <t>Paulista Grande</t>
  </si>
  <si>
    <t>Colonial</t>
  </si>
  <si>
    <t>Paulista c/ Trava</t>
  </si>
  <si>
    <t>Qtd</t>
  </si>
  <si>
    <t>CONFIGURAÇÕES</t>
  </si>
  <si>
    <t>Total de Paredes em m2</t>
  </si>
  <si>
    <t>Quantidade de Tijolos</t>
  </si>
  <si>
    <t>M3 dos buracos por estaca</t>
  </si>
  <si>
    <t>M3 por buraco</t>
  </si>
  <si>
    <t>M3 das Vigas Baldrames</t>
  </si>
  <si>
    <t>Traços - m3</t>
  </si>
  <si>
    <t>Traço para Concreto Piso e Base (1:3:3)</t>
  </si>
  <si>
    <t>Traço Argamassa (1:3)</t>
  </si>
  <si>
    <t>Traço Concreto Laje (1:2:2,5)</t>
  </si>
  <si>
    <t>Cimento Sacos</t>
  </si>
  <si>
    <t>Cimento M3</t>
  </si>
  <si>
    <t>Areia Fina M3</t>
  </si>
  <si>
    <t>Areia Média M3</t>
  </si>
  <si>
    <t>Brita M3</t>
  </si>
  <si>
    <t>Alvenaria</t>
  </si>
  <si>
    <t>Sacos de Cimento para Reboco</t>
  </si>
  <si>
    <t>Sacos de Cimento para Tijolos de Alvenaria</t>
  </si>
  <si>
    <t>Sacos de Cimento desempeno do Telhado</t>
  </si>
  <si>
    <t>obs.: Varia de acordo com o tipo de telhado</t>
  </si>
  <si>
    <t>Estrutural</t>
  </si>
  <si>
    <t>Sacos de cimento para Buracos / Estacas</t>
  </si>
  <si>
    <t>Sacos de cimento para Viga Baldrame</t>
  </si>
  <si>
    <t>Sacos de cimento vergas/contra-vergas e outros</t>
  </si>
  <si>
    <t>Sacos de Cimento contra-piso</t>
  </si>
  <si>
    <t>Sacos de Cimento para Laje</t>
  </si>
  <si>
    <t>Sacos de Cimento para Colunas da Alvenaria</t>
  </si>
  <si>
    <t>obs.: Somente Faça Alterações se necessário</t>
  </si>
  <si>
    <t>Saco Cimento</t>
  </si>
  <si>
    <t>M3 Brita</t>
  </si>
  <si>
    <t>Total de Cimento</t>
  </si>
  <si>
    <t>Paramentros Para Cálculo</t>
  </si>
  <si>
    <t>Tijolo Espessura - Massa da alvenaria</t>
  </si>
  <si>
    <t>Tijolo</t>
  </si>
  <si>
    <t>Espessura do contra-piso</t>
  </si>
  <si>
    <t>Espessura do reboco</t>
  </si>
  <si>
    <t>Percentual de Janelas - descontos / quebra tijolo</t>
  </si>
  <si>
    <t>Sacos de Cimentos por 1 m3 - concreto 1:3:3,5</t>
  </si>
  <si>
    <t>Material para Telhado Americano m2 R$</t>
  </si>
  <si>
    <t>Queda do Telhado 30%</t>
  </si>
  <si>
    <t>Tamanho metro Linear Coluna metros 3/6</t>
  </si>
  <si>
    <t>Tela Aço Dimensão 2x3m - m2</t>
  </si>
  <si>
    <t>Rendimento Argamassa</t>
  </si>
  <si>
    <t>Baldrame + Viga Superior</t>
  </si>
  <si>
    <t>Acréscimo de Ferro por Segurança</t>
  </si>
  <si>
    <t>Percentual Arame</t>
  </si>
  <si>
    <t>Percentual Prego</t>
  </si>
  <si>
    <t>Fator de Correção da Caída do telhado 35%</t>
  </si>
  <si>
    <t>Gesso Cola por m2 (kg)</t>
  </si>
  <si>
    <t>Tinta Parede - Rendimento m²</t>
  </si>
  <si>
    <t>Textura - Rendimento ²</t>
  </si>
  <si>
    <t>Massa Corrida - Rendimento</t>
  </si>
  <si>
    <t>Sarrafo</t>
  </si>
  <si>
    <t>Tabua</t>
  </si>
  <si>
    <t>Estacas para Laje</t>
  </si>
  <si>
    <t>Valor gasto em vidros por janela</t>
  </si>
  <si>
    <t>Média de pontos elétricos por cômodo</t>
  </si>
  <si>
    <t>Valor do m3 de Concreto Usinado MPA</t>
  </si>
  <si>
    <t>Pé Direito Total (m)</t>
  </si>
  <si>
    <t>obs.: Olhe a Tabela de Telhas em "AJUDA E TABELAS"</t>
  </si>
  <si>
    <t>Altura do Tijolo</t>
  </si>
  <si>
    <t>Comprimento do Tijolo</t>
  </si>
  <si>
    <t>Espessura Tijolo</t>
  </si>
  <si>
    <t>Percentual de Perda de Concreto Usinado</t>
  </si>
  <si>
    <t>Média m2 de reboco que rendem um saco</t>
  </si>
  <si>
    <t>Média m2 que 1 traço de cimento assenta 1:3</t>
  </si>
  <si>
    <t>Faces</t>
  </si>
  <si>
    <t>Rendimento m2 de Rejunte</t>
  </si>
  <si>
    <t xml:space="preserve">Revestimento m2 banheiros </t>
  </si>
  <si>
    <t>Revestimento m2 cozinha</t>
  </si>
  <si>
    <t>Parametro Calculo Impermeabilizante</t>
  </si>
  <si>
    <t>Etapa da Obra</t>
  </si>
  <si>
    <t>Item</t>
  </si>
  <si>
    <t>UN</t>
  </si>
  <si>
    <t>PLANEJAMENTO</t>
  </si>
  <si>
    <t>Quantidade</t>
  </si>
  <si>
    <t>Preço Unitário</t>
  </si>
  <si>
    <t>TOTAL</t>
  </si>
  <si>
    <t>APURAÇÃO</t>
  </si>
  <si>
    <t>Status</t>
  </si>
  <si>
    <t>Diferença</t>
  </si>
  <si>
    <t>Observações</t>
  </si>
  <si>
    <t>TOTAL PARCIAL</t>
  </si>
  <si>
    <t>Finalizado*</t>
  </si>
  <si>
    <t>*Obs.: Preencha Finalizado com S ou deixe em branco</t>
  </si>
  <si>
    <t>Estrutura - Estaca e Baldrames</t>
  </si>
  <si>
    <t>Areia Lavada Fina</t>
  </si>
  <si>
    <t>Areia Lavada Média</t>
  </si>
  <si>
    <t>Brita</t>
  </si>
  <si>
    <t>Cimento</t>
  </si>
  <si>
    <t>m3</t>
  </si>
  <si>
    <t>Saco</t>
  </si>
  <si>
    <t>Sarrafo de Madeira 15cm</t>
  </si>
  <si>
    <t>Tábua de Madeira 30cm</t>
  </si>
  <si>
    <t>m</t>
  </si>
  <si>
    <t>Prego</t>
  </si>
  <si>
    <t>kg</t>
  </si>
  <si>
    <t>Colunas Prontas Aço-6m</t>
  </si>
  <si>
    <t>Gaiolas Sapatas</t>
  </si>
  <si>
    <t>Impermeabilizante 18KG</t>
  </si>
  <si>
    <t>Vedacit - Imperm. Reboco</t>
  </si>
  <si>
    <t>Arame</t>
  </si>
  <si>
    <t>Coluna</t>
  </si>
  <si>
    <t>Balde</t>
  </si>
  <si>
    <t>Un.</t>
  </si>
  <si>
    <t>Sacos</t>
  </si>
  <si>
    <t>Unidade</t>
  </si>
  <si>
    <t>Rolo</t>
  </si>
  <si>
    <t>Tijolos</t>
  </si>
  <si>
    <t>Basculante WC</t>
  </si>
  <si>
    <t>Portinhola</t>
  </si>
  <si>
    <t xml:space="preserve">Janelas </t>
  </si>
  <si>
    <t>Vedalit - Liga para Massa 1l</t>
  </si>
  <si>
    <t>Treliça T-08 Vergas e Contra-Vergas 12m</t>
  </si>
  <si>
    <t>Milheiros</t>
  </si>
  <si>
    <t>Litros</t>
  </si>
  <si>
    <t>Grade Águas Pluviais</t>
  </si>
  <si>
    <t>Tijolos de Vidro</t>
  </si>
  <si>
    <t>Laje</t>
  </si>
  <si>
    <t>Escoras</t>
  </si>
  <si>
    <t>Laje c/ Isopor</t>
  </si>
  <si>
    <t>m2</t>
  </si>
  <si>
    <t>Barras de Ferro 5/16 - Lajes e Demais</t>
  </si>
  <si>
    <t xml:space="preserve">Tela POP Média - Malha de Ferro Laje 0,15 x 0,15 </t>
  </si>
  <si>
    <t>Barras</t>
  </si>
  <si>
    <t>Desempena do Telhado</t>
  </si>
  <si>
    <t>Contra-Piso e Calçada</t>
  </si>
  <si>
    <t>Telhado</t>
  </si>
  <si>
    <t>Telhas</t>
  </si>
  <si>
    <t>Cumeeira</t>
  </si>
  <si>
    <t>Pregos</t>
  </si>
  <si>
    <t>Estrutura do Telhado</t>
  </si>
  <si>
    <t>un.</t>
  </si>
  <si>
    <t>Preço Unitário da Telha</t>
  </si>
  <si>
    <t>Comprimento da Casa</t>
  </si>
  <si>
    <t>Reboco</t>
  </si>
  <si>
    <t>Sacos de Cimento Calçada</t>
  </si>
  <si>
    <t>Portas</t>
  </si>
  <si>
    <t>jogo</t>
  </si>
  <si>
    <t>Dobradiças</t>
  </si>
  <si>
    <t>Vedante</t>
  </si>
  <si>
    <t>obs.: Valor Médio de portas</t>
  </si>
  <si>
    <t>Pisos e Revestimentos</t>
  </si>
  <si>
    <t>Fechaduras</t>
  </si>
  <si>
    <t>Rejunte</t>
  </si>
  <si>
    <t>Argamassa</t>
  </si>
  <si>
    <t>Pastilhas</t>
  </si>
  <si>
    <t>Soleiras</t>
  </si>
  <si>
    <t>Placa</t>
  </si>
  <si>
    <t>Bancada (para cozinha americana)</t>
  </si>
  <si>
    <t>Pintura</t>
  </si>
  <si>
    <t>Verniz Pintura 3,6 litros</t>
  </si>
  <si>
    <t>Massa Corrida</t>
  </si>
  <si>
    <t>lata</t>
  </si>
  <si>
    <t>Selador para Parede</t>
  </si>
  <si>
    <t>Textura Colorida</t>
  </si>
  <si>
    <t>Tinta Acetinada (parede interna)</t>
  </si>
  <si>
    <t>Silicone (pias, janelas blindex...)</t>
  </si>
  <si>
    <t>Aguarrás</t>
  </si>
  <si>
    <t>Thinner</t>
  </si>
  <si>
    <t>Palha Aço</t>
  </si>
  <si>
    <t>Plástico para Limpeza</t>
  </si>
  <si>
    <t>Vaso WC</t>
  </si>
  <si>
    <t>Lavatório WC</t>
  </si>
  <si>
    <t>Pia Inox (+ Granito ou Mármore)</t>
  </si>
  <si>
    <t>Tanque Lavanderia</t>
  </si>
  <si>
    <t>Chuveiros</t>
  </si>
  <si>
    <t>LISTA DE MATERIAIS</t>
  </si>
  <si>
    <t>MÃO DE OBRA</t>
  </si>
  <si>
    <t>Preço</t>
  </si>
  <si>
    <t>Método do Cálculo</t>
  </si>
  <si>
    <t>Planejamento (R$)</t>
  </si>
  <si>
    <t>Apuração (R$)</t>
  </si>
  <si>
    <t xml:space="preserve">Status </t>
  </si>
  <si>
    <t>Estrutura - Estacas e Baldrames</t>
  </si>
  <si>
    <t>Impermeabilização do Baldrame</t>
  </si>
  <si>
    <t>Batentes</t>
  </si>
  <si>
    <t>Reboco e Janelas</t>
  </si>
  <si>
    <t>Contra-piso</t>
  </si>
  <si>
    <t>Gesso Cola na Laje</t>
  </si>
  <si>
    <t>Gesso Sanca (detalhe)</t>
  </si>
  <si>
    <t>Forro PVC</t>
  </si>
  <si>
    <t>Pintura e Texturas</t>
  </si>
  <si>
    <t>Instalação de Aparelhos</t>
  </si>
  <si>
    <t>Hidraulica e Esgoto</t>
  </si>
  <si>
    <t>Elétrica</t>
  </si>
  <si>
    <t>Desempeno</t>
  </si>
  <si>
    <t>Fossa e Sumidouro</t>
  </si>
  <si>
    <t>Calçada</t>
  </si>
  <si>
    <t>Verba</t>
  </si>
  <si>
    <t>Metro Linear e Estacas</t>
  </si>
  <si>
    <t>Metro Linear</t>
  </si>
  <si>
    <t>unitário</t>
  </si>
  <si>
    <t>Empreita</t>
  </si>
  <si>
    <t>Empreita por unidade</t>
  </si>
  <si>
    <t>Empreita por cômodo</t>
  </si>
  <si>
    <t>Cômodo Molhado</t>
  </si>
  <si>
    <t>Metros de Profundidade</t>
  </si>
  <si>
    <t>Pisos, Revestimentos</t>
  </si>
  <si>
    <t>Especificação</t>
  </si>
  <si>
    <t>Este orçamento de materiais é baseado em nossa região. Altere os preços se necessário para ter um melhor</t>
  </si>
  <si>
    <t xml:space="preserve">resultado. </t>
  </si>
  <si>
    <t>Os resultados obtidos nessa planilha orçamentária são de previsão, a execução real pode sofrer alterações.</t>
  </si>
  <si>
    <t>engenheiro e faça as alterações se necessário.</t>
  </si>
  <si>
    <t>4.</t>
  </si>
  <si>
    <t>A Lista de Materiais Elétrico e Hidráulico foram baseadas nos nossos Projetos Elétrico e Hidráulico. Caso não</t>
  </si>
  <si>
    <t>tenha adquirido, o valor pode ser usado como uma média. Aconselhamos a contratação de profissionais para</t>
  </si>
  <si>
    <t>para um melhor resultado.</t>
  </si>
  <si>
    <t>5.</t>
  </si>
  <si>
    <t>O Planta Pronta agradece a confiança e deseja uma excelente obra.</t>
  </si>
  <si>
    <t>6.</t>
  </si>
  <si>
    <t>Outras dúvidas, sugestões e críticas são bem-vindas. Mande um e-mail para: contato@plantapronta.com.br</t>
  </si>
  <si>
    <t>Você Gastou em Mão de Obra:</t>
  </si>
  <si>
    <t>GASTO</t>
  </si>
  <si>
    <t>Gasto(R$)</t>
  </si>
  <si>
    <t>Instalações Elétricas</t>
  </si>
  <si>
    <t>Quadro Energia - Centro de Distribuição</t>
  </si>
  <si>
    <t>Disjuntor 10</t>
  </si>
  <si>
    <t>Disjuntor 15</t>
  </si>
  <si>
    <t>Disjuntor 20</t>
  </si>
  <si>
    <t>Disjuntor 25</t>
  </si>
  <si>
    <t>Disjuntor 35</t>
  </si>
  <si>
    <t>Disjuntor 40</t>
  </si>
  <si>
    <t>Caixa PVC 4x2</t>
  </si>
  <si>
    <t>Caixa PVC 3x3</t>
  </si>
  <si>
    <t>Caixa PVC 4x4</t>
  </si>
  <si>
    <t>Fio 16mm²</t>
  </si>
  <si>
    <t>Fio 25mm²</t>
  </si>
  <si>
    <t>Fio 1,5mm²</t>
  </si>
  <si>
    <t>Fio 2,5mm²</t>
  </si>
  <si>
    <t>Fio 4,0mm²</t>
  </si>
  <si>
    <t>Fio 6,0mm²</t>
  </si>
  <si>
    <t>Fio 10,0mm²</t>
  </si>
  <si>
    <t>7.</t>
  </si>
  <si>
    <t>Esse orçamento não abrange instalações extras como Piscina, Automação Residêncial e afins.</t>
  </si>
  <si>
    <t>Dúvidas Frequentes e Ajuda</t>
  </si>
  <si>
    <t>Eletrodutos (média)</t>
  </si>
  <si>
    <t>verba</t>
  </si>
  <si>
    <t>conj</t>
  </si>
  <si>
    <t>Spot de Chão</t>
  </si>
  <si>
    <t>Spot de Teto</t>
  </si>
  <si>
    <t>Luminária de Teto</t>
  </si>
  <si>
    <t>Arandela</t>
  </si>
  <si>
    <t>Sensor de Presença</t>
  </si>
  <si>
    <t>Aparelhos Hidráulicos</t>
  </si>
  <si>
    <t xml:space="preserve">TOTAL </t>
  </si>
  <si>
    <t>INFRAESTRUTURA DE DADOS</t>
  </si>
  <si>
    <t>ELÉTRICA</t>
  </si>
  <si>
    <t>Caixa 4x2</t>
  </si>
  <si>
    <t>Placa 2x4  + Suporte</t>
  </si>
  <si>
    <t>Placa 4x4 + Suporte</t>
  </si>
  <si>
    <t>Placa 01 Módulo</t>
  </si>
  <si>
    <t>Placa Saída Fio</t>
  </si>
  <si>
    <t>Cabo Telefone</t>
  </si>
  <si>
    <t>Cabo Rede CAT-5 UTP 4 Pares (internet)</t>
  </si>
  <si>
    <t>Tomada Rede RJ-45 (Internet)</t>
  </si>
  <si>
    <t>Tomada Rede RJ-11 (Telefone)</t>
  </si>
  <si>
    <t>Disjuntor 30</t>
  </si>
  <si>
    <t>Instalações Hidráulicas</t>
  </si>
  <si>
    <t>ÁGUA FRIA</t>
  </si>
  <si>
    <t>Cola para Cano PVC</t>
  </si>
  <si>
    <t>Veda Rosca</t>
  </si>
  <si>
    <t>Tampa de Esgoto T33</t>
  </si>
  <si>
    <t>Hidrômetro</t>
  </si>
  <si>
    <t>Cavalete e Caixa</t>
  </si>
  <si>
    <t>Caixa D'água</t>
  </si>
  <si>
    <t>Boia</t>
  </si>
  <si>
    <t>Tubo Soldável 25mm</t>
  </si>
  <si>
    <t>Tubo Soldável 32mm</t>
  </si>
  <si>
    <t>Tubo Soldável 40mm</t>
  </si>
  <si>
    <t>Joelho 90º Soldável 25mm</t>
  </si>
  <si>
    <t>Tê Soldável 25mm</t>
  </si>
  <si>
    <t>Joelho 45º Soldável 25mm</t>
  </si>
  <si>
    <t>Registro de Gaveta Soldável 25mm</t>
  </si>
  <si>
    <t>Registro de Pressão Soldável 25mm</t>
  </si>
  <si>
    <t>Joelho 90º Soldável 32mm</t>
  </si>
  <si>
    <t>Joelho 45º Soldável 32mm</t>
  </si>
  <si>
    <t>Tê Soldável 32mm</t>
  </si>
  <si>
    <t>Registro de Gaveta Soldável 32mm</t>
  </si>
  <si>
    <t>Joelho 90º Soldável 40mm</t>
  </si>
  <si>
    <t>Joelho 45º Soldável 40mm</t>
  </si>
  <si>
    <t>Tê Soldável 40mm</t>
  </si>
  <si>
    <t>Registro de Gaveta Soldável 40mm</t>
  </si>
  <si>
    <t>Bucha de Redução 32x25mm</t>
  </si>
  <si>
    <t>Bucha de Redução 40x32mm</t>
  </si>
  <si>
    <t>Luva com Rosca 1,2" + Joelho 90º Sol. Red. 25mmx1,2"</t>
  </si>
  <si>
    <t>Adaptador Sold. Curto com Bolsa e Rosca p/ Reg. 40mmx1.1,2"</t>
  </si>
  <si>
    <t>Válvula Hídrica</t>
  </si>
  <si>
    <t>Bolsa de Ligação</t>
  </si>
  <si>
    <t>Banheiros + Lavabos</t>
  </si>
  <si>
    <t>Joelho 90º Soldável e com rosca Redução 25mmx1,2"</t>
  </si>
  <si>
    <t>Tanques e Pias</t>
  </si>
  <si>
    <t>un</t>
  </si>
  <si>
    <t>Engate Flexivel</t>
  </si>
  <si>
    <t>Pias de Cozinha</t>
  </si>
  <si>
    <t>ÁGUA QUENTE</t>
  </si>
  <si>
    <t>Tubo Soldável 28mm</t>
  </si>
  <si>
    <t>Joelho 90º Soldável 28mm</t>
  </si>
  <si>
    <t>Joelho 45º Soldável 28mm</t>
  </si>
  <si>
    <t>Tê Soldável 28mm</t>
  </si>
  <si>
    <t>Registro de Gaveta Soldável 28mm</t>
  </si>
  <si>
    <t>Registro de Pressão Soldável 28mm</t>
  </si>
  <si>
    <t>Tubo Soldável 35mm</t>
  </si>
  <si>
    <t>Joelho 90º Soldável 35mm</t>
  </si>
  <si>
    <t>Joelho 45º Soldável 35mm</t>
  </si>
  <si>
    <t>Tê Soldável 35mm</t>
  </si>
  <si>
    <t>Registro de Gaveta Soldável 35mm</t>
  </si>
  <si>
    <t>Bucha de Redução 28mmx35mm</t>
  </si>
  <si>
    <t>Pias Cozinhas, Banheiros, Lavabos</t>
  </si>
  <si>
    <t>ESGOTO</t>
  </si>
  <si>
    <t>Caixa de Inspeção</t>
  </si>
  <si>
    <t>Caixa de Gordura</t>
  </si>
  <si>
    <t>Caixa Sifonada Redonda c/ 8 entrada</t>
  </si>
  <si>
    <t>Tubo de Esgoto Série Normal DN 40mm</t>
  </si>
  <si>
    <t>Joelho 90º Esgoto Série Normal DN 40</t>
  </si>
  <si>
    <t>Joelho 45º Esgoto Série Normal DN 40</t>
  </si>
  <si>
    <t>Curva 90º Curta Esgoto Série Normal DN 40</t>
  </si>
  <si>
    <t>Curva 90º Longa Esgoto Série Normal DN 40</t>
  </si>
  <si>
    <t>Tubo de Esgoto Série Normal DN 50mm</t>
  </si>
  <si>
    <t>Joelho 90º Esgoto Série Normal DN 50</t>
  </si>
  <si>
    <t>Joelho 45º Esgoto Série Normal DN 50</t>
  </si>
  <si>
    <t>Curva 90º Curta Esgoto Série Normal DN 50</t>
  </si>
  <si>
    <t>Curva 90º Longa Esgoto Série Normal DN 50</t>
  </si>
  <si>
    <t>Tubo de Esgoto Série Normal DN 100mm</t>
  </si>
  <si>
    <t>Joelho 90º Esgoto Série Normal DN 100</t>
  </si>
  <si>
    <t>Joelho 45º Esgoto Série Normal DN 100</t>
  </si>
  <si>
    <t>Curva 90º Curta Esgoto Série Normal DN 100</t>
  </si>
  <si>
    <t>Curva 90º Longa Esgoto Série Normal DN 100</t>
  </si>
  <si>
    <t>Valvula para Lavatório, sem unho</t>
  </si>
  <si>
    <t>Sifão 1"</t>
  </si>
  <si>
    <t>Pias WC</t>
  </si>
  <si>
    <t>Válvula para Pia Americana</t>
  </si>
  <si>
    <t>Sifão 1.1/4" Roscável</t>
  </si>
  <si>
    <t>Luva de Correr 40mm</t>
  </si>
  <si>
    <t>Vedação para Saída de Vaso Sanitário</t>
  </si>
  <si>
    <t>Pias Cozinhas</t>
  </si>
  <si>
    <t>Válvula para Tanque com Saída Roscavel</t>
  </si>
  <si>
    <t>Tanques</t>
  </si>
  <si>
    <t>Caixa de Inspeção + Gordura</t>
  </si>
  <si>
    <t>Ap. Eletrônicos e Eletrodomésticos</t>
  </si>
  <si>
    <t>Televisões</t>
  </si>
  <si>
    <t>Geladeira</t>
  </si>
  <si>
    <t>Fogão</t>
  </si>
  <si>
    <t>Microondas</t>
  </si>
  <si>
    <t>Móveis</t>
  </si>
  <si>
    <t>Planta Pronta</t>
  </si>
  <si>
    <t>planta</t>
  </si>
  <si>
    <t>Aprovações</t>
  </si>
  <si>
    <t>Outros Serviços e Materiais</t>
  </si>
  <si>
    <t>Piscina</t>
  </si>
  <si>
    <t>RESULTADOS</t>
  </si>
  <si>
    <t>ITEM</t>
  </si>
  <si>
    <t>Estrutura - Estacas e Baldrame</t>
  </si>
  <si>
    <t>Contra-piso e Calçada</t>
  </si>
  <si>
    <t>Mão de Obra</t>
  </si>
  <si>
    <t>ETAPA</t>
  </si>
  <si>
    <t>DESCRIÇÃO</t>
  </si>
  <si>
    <t>VERIFICADO</t>
  </si>
  <si>
    <t>QUALIDADE</t>
  </si>
  <si>
    <t>Alocar a casa no terreno. Marcar as estacas (pilares), sapatas, cavar, armas os baldrames, formas de madeira, colocar as ferragens e encher de concreto. Cura com água de 2 dias. Aguardar a secagem e retirar as tábuas.</t>
  </si>
  <si>
    <t>Check List</t>
  </si>
  <si>
    <t>Altura e Largura das Vigas Baldrame corretas.</t>
  </si>
  <si>
    <t>Locação dos pilares, esquadro e prumo ok.</t>
  </si>
  <si>
    <t>Enchimento das vigas.</t>
  </si>
  <si>
    <t>Pilares na posição, ângulo e profundidade correta.</t>
  </si>
  <si>
    <t>Nível da casa 5cm acima da rua.</t>
  </si>
  <si>
    <t>Vigas Molhadas. Mínimo 4 dias.</t>
  </si>
  <si>
    <t>Impermeabilizar Baldrame</t>
  </si>
  <si>
    <t>Intervalo de 6 horas em cada passada de mão. Mínimo de 3 passadas.</t>
  </si>
  <si>
    <t>Mínimo de 3 demãos, sem buracos.</t>
  </si>
  <si>
    <t>Paredes com ângulo reto e cômodos ok.</t>
  </si>
  <si>
    <t>Janelas de acordo com o projeto.</t>
  </si>
  <si>
    <t>Portas de acordo com o projeto.</t>
  </si>
  <si>
    <t>Vergas e Contra-vergas.</t>
  </si>
  <si>
    <t>Altura da alvenaria acima do piso ok? (5cm)</t>
  </si>
  <si>
    <t>Acesso a Caixa D'água</t>
  </si>
  <si>
    <t>Subir paredes, lembrando dos vãos de portas e janelas. Encher colunas, lembrando das vergas e contra-vergas das portas e janelas.</t>
  </si>
  <si>
    <t>Sentido das Vigas (com o engenheiro)</t>
  </si>
  <si>
    <t>Escoramento</t>
  </si>
  <si>
    <t>Travamento das Escoras</t>
  </si>
  <si>
    <t>Confirmar nível das lajes</t>
  </si>
  <si>
    <t>Telas</t>
  </si>
  <si>
    <t>Barras de Ferro (contrárias à vga)</t>
  </si>
  <si>
    <t>Passagem dos Eletrodutos antes do enchimento</t>
  </si>
  <si>
    <t>Caixas de madeira, colocar treliças e isopor (ou outro) das lajes, vigas, malha de ferro, amarração e armação de ferro com escoramento. Enchimento com concreto.</t>
  </si>
  <si>
    <t>Empena, desempena, caída do telhado com no mínimo 30% de queda (varia de acordo com o tipo de telhado, veja em "AJUDA E TABELAS")</t>
  </si>
  <si>
    <t>Inclinação / Caída mínima</t>
  </si>
  <si>
    <t>Colunas de ferro e concreto.</t>
  </si>
  <si>
    <t>Desempeno do Telhado</t>
  </si>
  <si>
    <t>Beiral de acordo com o projeto</t>
  </si>
  <si>
    <t>Telhas (preferência com traba)</t>
  </si>
  <si>
    <t>Telhas uniformes (cor, marca e modelo)</t>
  </si>
  <si>
    <t>Cumeeira com argamassa de piso e cimento</t>
  </si>
  <si>
    <t>Alinhamento da madeira</t>
  </si>
  <si>
    <t>Calha e caída do telhado</t>
  </si>
  <si>
    <t>Madeiramento, atentando ao peso e sem grandes vão. Telhas e Cummeira com argamassa e corante.</t>
  </si>
  <si>
    <t>Antes do reboco, verificar nível.</t>
  </si>
  <si>
    <t>Posicionamentos e Interruptores e tomadas</t>
  </si>
  <si>
    <t>Fechamento do Reboco</t>
  </si>
  <si>
    <t>Verificar se não há barrigas (mais de 2,5mm)</t>
  </si>
  <si>
    <t>Chapiscar, emboçar e rebocar toda a alvenaria da obra. Com atentamento ao acabamentos e requadramentos, deixando a superfície pronta para pintura e revestimento. Reboco até as telhas, evitando acesso de animais. Pedras dos peitoris de janelas.</t>
  </si>
  <si>
    <t>Nível do piso</t>
  </si>
  <si>
    <t>Altura do piso para janelas</t>
  </si>
  <si>
    <t>Altura do piso para portas</t>
  </si>
  <si>
    <t>Níveis de caída para área de WC e box. (1,5cm cada)</t>
  </si>
  <si>
    <t>Definir nível de acordo com portas (vão para porta de 2,10 = 2,11). Desempenado e nivelado.</t>
  </si>
  <si>
    <t>Nível do teto foi seguido.</t>
  </si>
  <si>
    <t>Sem ondulações na superfície.</t>
  </si>
  <si>
    <t>Para sanca, se não ficou oco (se não afunda)</t>
  </si>
  <si>
    <t>Quinas e esquadro do gesso</t>
  </si>
  <si>
    <t>Pontos de luz, energia e eletroduto.</t>
  </si>
  <si>
    <t>Armação do gesso bem fixada</t>
  </si>
  <si>
    <t>Gesso Cola na Laje, Gesso placa rebaixada, Gesso para sanca e detalhes</t>
  </si>
  <si>
    <t>Passa gesso cola, deixando com a superfície regular no ponto de pintura. Proteger o local de trabalho. Estrutura com arame galvanizado (gesso placa rebaixado), nível do gesso alinhado. Fazer o alinhamento da sanca, deixando as quinas no esquadro. Todas as sancas com a mesma largura.</t>
  </si>
  <si>
    <t>Ferro ficou na distância máxima de 7mm</t>
  </si>
  <si>
    <t>Pontos de iluminação no lugar</t>
  </si>
  <si>
    <t>Estrutura parafusa e rebitada. Distância máxima de 7mm entre cada metalon (ferro)</t>
  </si>
  <si>
    <t>Área molhada revestimento no mínimo 50cm acima de tanque e pia</t>
  </si>
  <si>
    <t>Estudar paginação para que os recortes fiquem nos cantos</t>
  </si>
  <si>
    <t>Evitar pisos na diagonal</t>
  </si>
  <si>
    <t>Usar espaçador para garantir que as juntas fiquem iguais.</t>
  </si>
  <si>
    <t>Piso/revestimento tiver desenho, peças no mesmo sentido</t>
  </si>
  <si>
    <t>Garantir caída do box</t>
  </si>
  <si>
    <t>Garantir esquadro do cômodo</t>
  </si>
  <si>
    <t>Impermeabilização de 0,5cm do pé da parede</t>
  </si>
  <si>
    <t>Colocação da cerâmica com paginação, peças bem assentadas, no nível e alinhadas com espaçamento previsto. Rodapés alinhados, com rejunte colocado.</t>
  </si>
  <si>
    <t>Sem raspar no chão</t>
  </si>
  <si>
    <t>Todas fechão e trancam facilmente</t>
  </si>
  <si>
    <t>Colocação das portas de acordo com o projeto e  funcionamento.</t>
  </si>
  <si>
    <t>Pintura e Textura</t>
  </si>
  <si>
    <t>Massa corrida sem ondulações</t>
  </si>
  <si>
    <t>Recortes no rodapé e rodateto</t>
  </si>
  <si>
    <t>Diferença de tonalidade</t>
  </si>
  <si>
    <t>Cantos das esquadrias</t>
  </si>
  <si>
    <t>Portas e janelas sem manchas</t>
  </si>
  <si>
    <t xml:space="preserve">Verificar trabalho, colocar proteção no piso e revestimento. Qualidade do trabalho. </t>
  </si>
  <si>
    <t>Nível e caída da água nas pias</t>
  </si>
  <si>
    <t>Verificar instalação</t>
  </si>
  <si>
    <t>Verificar vedação</t>
  </si>
  <si>
    <t>Instalação da Caixa D'água</t>
  </si>
  <si>
    <t>Adaptador "ladrão"</t>
  </si>
  <si>
    <t>Verificar boia da caixa</t>
  </si>
  <si>
    <t>Verificar se o pontos estão tendo pressão</t>
  </si>
  <si>
    <t>Verificar as saídas de esgoto</t>
  </si>
  <si>
    <t>Ralos nos banheiros</t>
  </si>
  <si>
    <t>Registros no cômodos molhados</t>
  </si>
  <si>
    <t>Localização e casinha da caixa d'água</t>
  </si>
  <si>
    <t>Pontos de Água</t>
  </si>
  <si>
    <t>Pontos de Esgoto</t>
  </si>
  <si>
    <t>Instalação Caixas de Inspeção e Gordura</t>
  </si>
  <si>
    <t>Teste de Escoamento da Tubulação de Esgoto</t>
  </si>
  <si>
    <t>Embutir nas paredes todas as tubulações especificadas no projeto. Passar as tubulações do esgoto para o contra-piso ser feito. Testar todos as instalações contra vazamentos e não esquecer dos componentes necessários.</t>
  </si>
  <si>
    <t>Verificar se as luminárias estão de acordo com o projeto</t>
  </si>
  <si>
    <t>Testar tomadas e luminárias</t>
  </si>
  <si>
    <t>Verificar fixação</t>
  </si>
  <si>
    <t>Conexão dos eletrodutos ao quadro de distruibuição</t>
  </si>
  <si>
    <t>Sem emenda de eletrodutos</t>
  </si>
  <si>
    <t>Colocação das caixinhas</t>
  </si>
  <si>
    <t>Altura das tomadas e interruptores</t>
  </si>
  <si>
    <t>Embutir eletrodutos nas paredes e laje, passar os condutores, instalar tomadas, interruptores. Verificar funcionamento de todos as instalações elétricas.</t>
  </si>
  <si>
    <t>Verificar calçada</t>
  </si>
  <si>
    <t>Caída da água no sentido contrário da parede</t>
  </si>
  <si>
    <t>25mar04 - destravado desenho logamarca da CAIXA</t>
  </si>
  <si>
    <t>10/01/02- campos descrição serviço e unidade - desbloqueados ; criada alternativa de verba ou "quantx custo unit" aberta a partir do item 2.</t>
  </si>
  <si>
    <t>Entre com os valores unitários excluíndo o BDI, Defina-o apenas no final, na célula própria</t>
  </si>
  <si>
    <t>Após o término, as planilhas de Espelho do Orçamento e Cronograma, estarão parcialmente prontas</t>
  </si>
  <si>
    <t>Ponto de Atendimento</t>
  </si>
  <si>
    <t>Processo número</t>
  </si>
  <si>
    <t xml:space="preserve">ORÇAMENTO DISCRIMINATIVO </t>
  </si>
  <si>
    <t>Programa:</t>
  </si>
  <si>
    <t>CCSBPE</t>
  </si>
  <si>
    <t xml:space="preserve">Empreendimento </t>
  </si>
  <si>
    <t>PROF. RESP.:</t>
  </si>
  <si>
    <t>Construtora:</t>
  </si>
  <si>
    <t>CREA :</t>
  </si>
  <si>
    <t>Endereço:</t>
  </si>
  <si>
    <t>CPF:</t>
  </si>
  <si>
    <t>Proponente:</t>
  </si>
  <si>
    <t>DATA-BASE</t>
  </si>
  <si>
    <t>SERVIÇO</t>
  </si>
  <si>
    <t>Unid.</t>
  </si>
  <si>
    <t>Quant.</t>
  </si>
  <si>
    <t>Custo Unitário</t>
  </si>
  <si>
    <t>Custo Total</t>
  </si>
  <si>
    <t>% Ítem</t>
  </si>
  <si>
    <t>% Total</t>
  </si>
  <si>
    <t>1</t>
  </si>
  <si>
    <t>1.1</t>
  </si>
  <si>
    <t xml:space="preserve">Serviços técnicos (levantamento topográfico, </t>
  </si>
  <si>
    <t>SER-</t>
  </si>
  <si>
    <r>
      <t>projetos</t>
    </r>
    <r>
      <rPr>
        <sz val="8"/>
        <color indexed="12"/>
        <rFont val="MS Sans Serif"/>
        <family val="2"/>
      </rPr>
      <t>,especificações, orçamento, cronograma)</t>
    </r>
  </si>
  <si>
    <t>VIÇOS</t>
  </si>
  <si>
    <t>1.2</t>
  </si>
  <si>
    <t>Despesas iniciais (cópias, licenças, taxas e impostos).</t>
  </si>
  <si>
    <t>PRE-</t>
  </si>
  <si>
    <t>1.3</t>
  </si>
  <si>
    <t>Instalações provisórias (tapumes, barracão, água, luz,</t>
  </si>
  <si>
    <t>LIMI-</t>
  </si>
  <si>
    <t>esgoto e placas).</t>
  </si>
  <si>
    <t>NARES</t>
  </si>
  <si>
    <t>1.4</t>
  </si>
  <si>
    <t>Máquinas e ferramentas (betoneira, vibrador, serra,</t>
  </si>
  <si>
    <t>E</t>
  </si>
  <si>
    <t>bomba, carrinho, guincho).</t>
  </si>
  <si>
    <t>GE-</t>
  </si>
  <si>
    <t>1.5</t>
  </si>
  <si>
    <t>Consumos</t>
  </si>
  <si>
    <t>RAIS</t>
  </si>
  <si>
    <t>1.6</t>
  </si>
  <si>
    <t>Limpeza da Obra</t>
  </si>
  <si>
    <t>1.7</t>
  </si>
  <si>
    <t>Transportes</t>
  </si>
  <si>
    <t>1.8</t>
  </si>
  <si>
    <t>CUSTO TOTAL DO ÍTEM</t>
  </si>
  <si>
    <t>100%</t>
  </si>
  <si>
    <t>2</t>
  </si>
  <si>
    <t>2.1.1 Demolições</t>
  </si>
  <si>
    <t>m²</t>
  </si>
  <si>
    <t>2.1.2 Limpeza do terreno</t>
  </si>
  <si>
    <t>2.1.3 Escavações mecânicas</t>
  </si>
  <si>
    <t>m³</t>
  </si>
  <si>
    <t xml:space="preserve">2.1 </t>
  </si>
  <si>
    <t xml:space="preserve">Trabalhos em </t>
  </si>
  <si>
    <t>2.1.4 Escavaçoes manuais</t>
  </si>
  <si>
    <t>Terra</t>
  </si>
  <si>
    <t>2.1.5 Aterro e apiloamento</t>
  </si>
  <si>
    <t>2.1.6 Locação da Obra</t>
  </si>
  <si>
    <t>INFRA</t>
  </si>
  <si>
    <t>2.1.7 Desmonte em Rocha</t>
  </si>
  <si>
    <t>ESTRU-</t>
  </si>
  <si>
    <t xml:space="preserve">2.1.8 </t>
  </si>
  <si>
    <t>TURA</t>
  </si>
  <si>
    <t>2.2.1 Escoramento do Terreno vizinho</t>
  </si>
  <si>
    <t>2.2</t>
  </si>
  <si>
    <t>Fundações e</t>
  </si>
  <si>
    <t>2.2.2 Reb. Lençol Freático/Drenagem</t>
  </si>
  <si>
    <t xml:space="preserve">Outros </t>
  </si>
  <si>
    <t>2.2.3 Fundações Profundas</t>
  </si>
  <si>
    <t>Serviços</t>
  </si>
  <si>
    <t>2.2.4 Fundações Superficiais</t>
  </si>
  <si>
    <t>Vb</t>
  </si>
  <si>
    <t>2.2.5 Vigas, Baldrames e Alavancas</t>
  </si>
  <si>
    <t>2.2.6</t>
  </si>
  <si>
    <t>3</t>
  </si>
  <si>
    <t>3.1</t>
  </si>
  <si>
    <t>Concreto Armado</t>
  </si>
  <si>
    <t>3.2</t>
  </si>
  <si>
    <t>Pré-moldados</t>
  </si>
  <si>
    <t>SUPRA</t>
  </si>
  <si>
    <t>3.3</t>
  </si>
  <si>
    <t>4</t>
  </si>
  <si>
    <t>4.1.1 Tijolo furado</t>
  </si>
  <si>
    <t>4.1.2 Tijolo maciço</t>
  </si>
  <si>
    <t>4.1.3 Bloco estrutural</t>
  </si>
  <si>
    <t>4.1 Alvenarias</t>
  </si>
  <si>
    <t>4.1.4 Paredes de Concreto</t>
  </si>
  <si>
    <t>4.1.5 Vergas de Concreto</t>
  </si>
  <si>
    <t>4.1.6 Arremates e Cunhas</t>
  </si>
  <si>
    <t>PAREDES</t>
  </si>
  <si>
    <t>4.1.7</t>
  </si>
  <si>
    <t>SUBTOTAL</t>
  </si>
  <si>
    <t>PAINÉIS</t>
  </si>
  <si>
    <t>4.2.1.1 Janelas</t>
  </si>
  <si>
    <t>4.2.1.2 Portas</t>
  </si>
  <si>
    <t>4.2 Esquadrias</t>
  </si>
  <si>
    <t>4.2.1.3 Basculantes</t>
  </si>
  <si>
    <t>metálicas</t>
  </si>
  <si>
    <t>4.2.1 Alumínio</t>
  </si>
  <si>
    <t>4.2.1.4 Gradis</t>
  </si>
  <si>
    <t>4.2.1.5 Portões</t>
  </si>
  <si>
    <t xml:space="preserve">4.2.1.6 </t>
  </si>
  <si>
    <t>4.2.2.1 Janelas</t>
  </si>
  <si>
    <t>4.2.2.2 Portas</t>
  </si>
  <si>
    <t>4.2.2.3 Basculantes</t>
  </si>
  <si>
    <t>4.2.2 Ferro</t>
  </si>
  <si>
    <t>4.2.2.4 Gradis</t>
  </si>
  <si>
    <t>4.2.2.5 Portões</t>
  </si>
  <si>
    <t>4.2.2.6 Porta corta-fogo</t>
  </si>
  <si>
    <t>4.2.2.7 Escada Marinheiro</t>
  </si>
  <si>
    <t>4.2.2.8 Alçapão</t>
  </si>
  <si>
    <t xml:space="preserve">4.2.2.9 </t>
  </si>
  <si>
    <t>4.3.1 Porta entrada 80x210cm</t>
  </si>
  <si>
    <t xml:space="preserve">un </t>
  </si>
  <si>
    <t>4.3.2 Portas internas 80x210cm</t>
  </si>
  <si>
    <t>4.3.3 Portas internas 70x210cm</t>
  </si>
  <si>
    <t>4.3 Esquadrias</t>
  </si>
  <si>
    <t>4.3.4 Portas internas 60x210cm</t>
  </si>
  <si>
    <t>de madeira</t>
  </si>
  <si>
    <t>4.3.5 Batentes</t>
  </si>
  <si>
    <t>4.3.6 Guarnições/alizares</t>
  </si>
  <si>
    <t>4.3.7 Janelas</t>
  </si>
  <si>
    <t xml:space="preserve">4.3.8 </t>
  </si>
  <si>
    <t>4.4.1 Conj. para porta social</t>
  </si>
  <si>
    <t>cj</t>
  </si>
  <si>
    <t>4.4.2 Conj. para porta de serviço</t>
  </si>
  <si>
    <t>4.4.3 Conj. para porta interna</t>
  </si>
  <si>
    <t>4.4 Ferragens</t>
  </si>
  <si>
    <t>4.4.4 Conj. para porta banheiro</t>
  </si>
  <si>
    <t>4.4.5 Conj. porta de garagem</t>
  </si>
  <si>
    <t>4.4.6 Dobradiças</t>
  </si>
  <si>
    <t xml:space="preserve">4.4.7 </t>
  </si>
  <si>
    <t>4.5.1 Lisos</t>
  </si>
  <si>
    <t>4.5 Vidros e</t>
  </si>
  <si>
    <t>4.5.2 Fantasia</t>
  </si>
  <si>
    <t>Plásticos</t>
  </si>
  <si>
    <t>4.5.3 Temperado/Laminado</t>
  </si>
  <si>
    <t>4.5.4 Tijolo de vidro</t>
  </si>
  <si>
    <t>4.5.5 Plásticos e Acrílicos</t>
  </si>
  <si>
    <t xml:space="preserve">4.5.6 </t>
  </si>
  <si>
    <t>5</t>
  </si>
  <si>
    <t>5.1.1 Estrutura para telhado</t>
  </si>
  <si>
    <t>5.1.2 Telhas</t>
  </si>
  <si>
    <t>5.1 Telhados</t>
  </si>
  <si>
    <t>5.1.3 Calhas e Rufos</t>
  </si>
  <si>
    <t>ml</t>
  </si>
  <si>
    <t>5.1.4</t>
  </si>
  <si>
    <t>5.2.1 Terraços e Coberturas</t>
  </si>
  <si>
    <t>COBER-</t>
  </si>
  <si>
    <t>5.2.2 Calhas</t>
  </si>
  <si>
    <t>TURAS</t>
  </si>
  <si>
    <t>5.2.3 Caixa D'água</t>
  </si>
  <si>
    <t>5.2 Impermea-</t>
  </si>
  <si>
    <t>5.2.4 Pisos e paredes de Sub-solo</t>
  </si>
  <si>
    <t>PRO-</t>
  </si>
  <si>
    <t>bilizações</t>
  </si>
  <si>
    <t>5.2.5 Poço Elevador</t>
  </si>
  <si>
    <t>TEÇÕES</t>
  </si>
  <si>
    <t>5.2.6 Jardineiras</t>
  </si>
  <si>
    <t>5.2.7 Varandas</t>
  </si>
  <si>
    <t>5.2.8 Boxes Banheiros</t>
  </si>
  <si>
    <t>5.2.9</t>
  </si>
  <si>
    <t>5.3.1 Isolamento Térmico</t>
  </si>
  <si>
    <t>5.3.2 Isolamento Acústico</t>
  </si>
  <si>
    <t>5.3 Tratamentos</t>
  </si>
  <si>
    <t>5.3.3</t>
  </si>
  <si>
    <t>6</t>
  </si>
  <si>
    <t>6.1.1 Chapisco</t>
  </si>
  <si>
    <t>6.1.2 Emboço</t>
  </si>
  <si>
    <t>6.1</t>
  </si>
  <si>
    <t>Revestimentos</t>
  </si>
  <si>
    <t>6.1.3 Reboco</t>
  </si>
  <si>
    <t>Internos</t>
  </si>
  <si>
    <t>6.1.4 Emboço Paulista</t>
  </si>
  <si>
    <t>6.1.5 Reboco pronto</t>
  </si>
  <si>
    <t>6.1.6 Gesso</t>
  </si>
  <si>
    <t>6.1.7</t>
  </si>
  <si>
    <t>6.2.1 Chapisco</t>
  </si>
  <si>
    <t>6.2.2 Emboço</t>
  </si>
  <si>
    <t>6.2.3 Azulejo Branco</t>
  </si>
  <si>
    <t>6.2.4 Azulejo em cor</t>
  </si>
  <si>
    <t>6.2</t>
  </si>
  <si>
    <t>Azulejos</t>
  </si>
  <si>
    <t>6.2.5 Azulejo Decorado</t>
  </si>
  <si>
    <t xml:space="preserve">6.2.6 Cantoneiras </t>
  </si>
  <si>
    <t>6.2.7 Rejuntamento</t>
  </si>
  <si>
    <t>6.2.8</t>
  </si>
  <si>
    <t>REVES-</t>
  </si>
  <si>
    <t>6.3</t>
  </si>
  <si>
    <t>6.2.3 Reboco</t>
  </si>
  <si>
    <t>TIMEN-</t>
  </si>
  <si>
    <t>Externos</t>
  </si>
  <si>
    <t>6.2.4 Emboço Paulista</t>
  </si>
  <si>
    <t>TOS</t>
  </si>
  <si>
    <t>6.2.5 Reboco pronto</t>
  </si>
  <si>
    <t xml:space="preserve">6.2.6 </t>
  </si>
  <si>
    <t>ELE-</t>
  </si>
  <si>
    <t>MEN-</t>
  </si>
  <si>
    <t>6.4.1 Gesso</t>
  </si>
  <si>
    <t>6.4.2 Madeira</t>
  </si>
  <si>
    <t>6.4</t>
  </si>
  <si>
    <t>Forros</t>
  </si>
  <si>
    <t>6.4.3 Especial</t>
  </si>
  <si>
    <t>DECO-</t>
  </si>
  <si>
    <t>6.4.4 PVC</t>
  </si>
  <si>
    <t>RATI-</t>
  </si>
  <si>
    <t>6.4.5 Laje Pré Moldada</t>
  </si>
  <si>
    <t>VOS</t>
  </si>
  <si>
    <t>6.5.1 Tinta Acrílica com massa corrida</t>
  </si>
  <si>
    <t>6.5.2 Tinta Acrílica sem massa corrida</t>
  </si>
  <si>
    <t>PIN-</t>
  </si>
  <si>
    <t>6.5.3 Latéx/PVA sobre massa corrida</t>
  </si>
  <si>
    <t>6.5.4 Latéx/PVA sem massa corrida</t>
  </si>
  <si>
    <t>6.5.5 Caiação</t>
  </si>
  <si>
    <t>6.5.6 Quantil</t>
  </si>
  <si>
    <t>6.5.7 Verniz sobre madeira</t>
  </si>
  <si>
    <t>6.5</t>
  </si>
  <si>
    <t>Pinturas</t>
  </si>
  <si>
    <t>6.5.8 Verniz sobre concreto</t>
  </si>
  <si>
    <t>6.5.9 Esquadria de madeira</t>
  </si>
  <si>
    <t>6.5.10 Esquadria de ferro</t>
  </si>
  <si>
    <t>6.5.11 Rodapés de madeira</t>
  </si>
  <si>
    <t>6.5.12 Demarcação de vagas de garagem</t>
  </si>
  <si>
    <t>6.5.13 Liquibrilho</t>
  </si>
  <si>
    <t>6.5.14 Texturizada/Granilha</t>
  </si>
  <si>
    <t>6.5.15</t>
  </si>
  <si>
    <t>6.6.1 Massa Pronta</t>
  </si>
  <si>
    <t>6.6.2 Pastilhas Cerâmicas</t>
  </si>
  <si>
    <t>6.6.3 Mármore</t>
  </si>
  <si>
    <t>6.6</t>
  </si>
  <si>
    <t>6.6.4 Pedras Decorativas</t>
  </si>
  <si>
    <t>Especiais</t>
  </si>
  <si>
    <t>6.6.5 Papel de parede</t>
  </si>
  <si>
    <t>6.6.6 Lambris</t>
  </si>
  <si>
    <t>6.6.7</t>
  </si>
  <si>
    <t>7</t>
  </si>
  <si>
    <t>7.1.1 Contrapiso/regularização</t>
  </si>
  <si>
    <t>7.1.2 Tacos</t>
  </si>
  <si>
    <t>7.1.3 Tábua Corrida</t>
  </si>
  <si>
    <t>7.1 Madeira</t>
  </si>
  <si>
    <t>7.1.4 Parquet</t>
  </si>
  <si>
    <t>7.1.5 Laminados</t>
  </si>
  <si>
    <t>7.1.6</t>
  </si>
  <si>
    <t>7.2.1 Contrapiso</t>
  </si>
  <si>
    <t>7.2.2 Lisa</t>
  </si>
  <si>
    <t>7.2.3 Decorada</t>
  </si>
  <si>
    <t>7.2 Cerâmica</t>
  </si>
  <si>
    <t>7.2.4 Rejuntamento</t>
  </si>
  <si>
    <t>7.2.5</t>
  </si>
  <si>
    <t>PA-</t>
  </si>
  <si>
    <t>VI-</t>
  </si>
  <si>
    <t>7.3 Carpete</t>
  </si>
  <si>
    <t>7.3.1 Contrapiso / regularização</t>
  </si>
  <si>
    <t>TA-</t>
  </si>
  <si>
    <t>7.3.2 Forração</t>
  </si>
  <si>
    <t>ÇÃO</t>
  </si>
  <si>
    <t>7.3.3 Carpete</t>
  </si>
  <si>
    <t xml:space="preserve">7.3.4 </t>
  </si>
  <si>
    <t>7.4 Cimentado</t>
  </si>
  <si>
    <t>7.4.1 Contrapiso</t>
  </si>
  <si>
    <t>7.4.2 Acabamento liso</t>
  </si>
  <si>
    <t>7.4.3 Acabamento áspero</t>
  </si>
  <si>
    <t>7.4.4</t>
  </si>
  <si>
    <t>7.5.1.1 Madeira</t>
  </si>
  <si>
    <t>7.5.1.2 Mármore</t>
  </si>
  <si>
    <t>7.5.1 Rodapé</t>
  </si>
  <si>
    <t>7.5.1.3 Granitina</t>
  </si>
  <si>
    <t>7.5.1.4 Cerâmica</t>
  </si>
  <si>
    <t>7.5.1.5 Cordão de Nylon</t>
  </si>
  <si>
    <t>7.5 Rodapés</t>
  </si>
  <si>
    <t>7.5.1.6 Aluminio</t>
  </si>
  <si>
    <t>Soleiras e</t>
  </si>
  <si>
    <t>7.5.2.1 Mármore</t>
  </si>
  <si>
    <t>Peitoris</t>
  </si>
  <si>
    <t>7.5.2 Soleiras</t>
  </si>
  <si>
    <t>7.5.2.2 Granitina</t>
  </si>
  <si>
    <t>7.5.2.3 Concreto pré-fab.</t>
  </si>
  <si>
    <t>7.5.2.4 Granito</t>
  </si>
  <si>
    <t>7.5.3.1 Mármore</t>
  </si>
  <si>
    <t>7.5.3.2 Granitina</t>
  </si>
  <si>
    <t>7.5.3 Peitoris</t>
  </si>
  <si>
    <t>7.5.3.3 Concreto pré-fab.</t>
  </si>
  <si>
    <t>7.5.3.4 Granito</t>
  </si>
  <si>
    <t>7.6.1 Contrapiso</t>
  </si>
  <si>
    <t>7.6.2 Mármore</t>
  </si>
  <si>
    <t>7.6 Pavimentações</t>
  </si>
  <si>
    <t>7.6.3 Granito</t>
  </si>
  <si>
    <t>7.6.4 Ardósia</t>
  </si>
  <si>
    <t>7.6.5 Granitina</t>
  </si>
  <si>
    <t xml:space="preserve">7.6.6  </t>
  </si>
  <si>
    <t>7.7</t>
  </si>
  <si>
    <t>8</t>
  </si>
  <si>
    <t>8.1.1 Tubulação e caixas nas Lajes</t>
  </si>
  <si>
    <t>8.1.2 Tubulação e caixas nas Alvenarias</t>
  </si>
  <si>
    <t>8.1.3 Prumadas gerais</t>
  </si>
  <si>
    <t>8.1.4 Enfiação áreas privativas</t>
  </si>
  <si>
    <t>8.1.5 Enfiação prumadas/áreas comuns</t>
  </si>
  <si>
    <t>8.1.6 Quadros de distribuição</t>
  </si>
  <si>
    <t>8.1.7 Tomadas, Interruptores e disjuntores</t>
  </si>
  <si>
    <t>8.1.8 Iluminação de Emergência</t>
  </si>
  <si>
    <t>8.1 Elétricas</t>
  </si>
  <si>
    <t>8.1.9 Luminárias (partes comuns)</t>
  </si>
  <si>
    <t>e Telefônicas</t>
  </si>
  <si>
    <t>8.1.10 Quadro medição/entrada energia</t>
  </si>
  <si>
    <t>8.1.11 Substação Transformadora</t>
  </si>
  <si>
    <t>8.1.12 Para-raios</t>
  </si>
  <si>
    <t>8.1.13 Antena Coletiva (equipos e acessórios)</t>
  </si>
  <si>
    <t>8.1.14 Interfone</t>
  </si>
  <si>
    <t>8.1.15 Porteiro Eletrônico</t>
  </si>
  <si>
    <t>8.1.16 Substação Transformadora</t>
  </si>
  <si>
    <t>INS-</t>
  </si>
  <si>
    <t>TALA-</t>
  </si>
  <si>
    <t>8.2.1.1 Cavalete/Hidrom.</t>
  </si>
  <si>
    <t>ÇÕES</t>
  </si>
  <si>
    <t>8.2.1.2 Barrilete</t>
  </si>
  <si>
    <t>8.2.1 Água</t>
  </si>
  <si>
    <t>8.2.1.3 Prumadas</t>
  </si>
  <si>
    <t>Fria</t>
  </si>
  <si>
    <t>8.2.1.4 Distribuição</t>
  </si>
  <si>
    <t>8.2.1.4 Entrada hidr.à cisterna</t>
  </si>
  <si>
    <t>APARE-</t>
  </si>
  <si>
    <t>8.2.1.5</t>
  </si>
  <si>
    <t>LHOS</t>
  </si>
  <si>
    <t>8.2.2.1 Barrilete</t>
  </si>
  <si>
    <t>8.2.2 Água</t>
  </si>
  <si>
    <t>8.2.2.2 Prumada</t>
  </si>
  <si>
    <t>Quente</t>
  </si>
  <si>
    <t>8.2.2.3 Distribuição</t>
  </si>
  <si>
    <t>8.2.2.4 Equipamento</t>
  </si>
  <si>
    <t>8.2 Hidráulicas</t>
  </si>
  <si>
    <t>8.2.2.5</t>
  </si>
  <si>
    <t>Gás</t>
  </si>
  <si>
    <t>8.2.3.1 Prumadas</t>
  </si>
  <si>
    <t>Incêndio</t>
  </si>
  <si>
    <t>8.2.3 Gás</t>
  </si>
  <si>
    <t>8.2.3.2 Distribuição</t>
  </si>
  <si>
    <t>8.2.3.3 Medidores</t>
  </si>
  <si>
    <t>8.2.3.4 Cilindros/Equip.</t>
  </si>
  <si>
    <t>8.2.4.1 Barrilete</t>
  </si>
  <si>
    <t>8.2.4.2 Prumadas</t>
  </si>
  <si>
    <t>8.2.4.3 Caixas</t>
  </si>
  <si>
    <t>8.2.4 Incêndio</t>
  </si>
  <si>
    <t>8.2.4.4 Registros</t>
  </si>
  <si>
    <t>8.2.4.5 Mangueiras e metais</t>
  </si>
  <si>
    <t>8.2.4.6 Hidr.passeio</t>
  </si>
  <si>
    <t>8.2.4.7 Extintores</t>
  </si>
  <si>
    <t>8.3.1 Prumadas - esgoto/ventilação</t>
  </si>
  <si>
    <t>8.3.2 Ramais - esgoto</t>
  </si>
  <si>
    <t>8.3.3 Rede Térreo - esgoto</t>
  </si>
  <si>
    <t>8.3 Esgoto e</t>
  </si>
  <si>
    <t>8.3.4 Prumadas - pluvial</t>
  </si>
  <si>
    <t>Águas Pluviais</t>
  </si>
  <si>
    <t>8.3.5 Rede Térreo - pluvial</t>
  </si>
  <si>
    <t>8.3.6  Calhas e Ralos</t>
  </si>
  <si>
    <t>8.3.7</t>
  </si>
  <si>
    <t>8.4.1 Elevadores</t>
  </si>
  <si>
    <t xml:space="preserve">8.4.2 Exaustores </t>
  </si>
  <si>
    <t>8.4 Instalções</t>
  </si>
  <si>
    <t>8.4.3 Bombas D'água</t>
  </si>
  <si>
    <t>Mecanias</t>
  </si>
  <si>
    <t>8.4.4</t>
  </si>
  <si>
    <t>8.5.1.1 Vaso Sanitário</t>
  </si>
  <si>
    <t>Un</t>
  </si>
  <si>
    <t>8.5.1.2 Lavatório</t>
  </si>
  <si>
    <t>8.5 Aparelhos</t>
  </si>
  <si>
    <t>8.5.1 Louças e</t>
  </si>
  <si>
    <t>8.5.1.3 Tanque</t>
  </si>
  <si>
    <t>Metais</t>
  </si>
  <si>
    <t>8.5.1.4 Bancadas</t>
  </si>
  <si>
    <t>8.5.1.5 Pia  Cozinha</t>
  </si>
  <si>
    <t xml:space="preserve">8.5.1.6 </t>
  </si>
  <si>
    <t>8.5.2.1 Porta papel</t>
  </si>
  <si>
    <t>8.5.2</t>
  </si>
  <si>
    <t>8.5.2.2 Porta toalha</t>
  </si>
  <si>
    <t>Complemento</t>
  </si>
  <si>
    <t>8.5.2.3 Cabides</t>
  </si>
  <si>
    <t>8.5.2.4 Saboneterias</t>
  </si>
  <si>
    <t>8.5.2.5 Prateleira</t>
  </si>
  <si>
    <t>9</t>
  </si>
  <si>
    <t>9.1</t>
  </si>
  <si>
    <t>Serviço de calafate e limpeza final</t>
  </si>
  <si>
    <t>COMPLE-</t>
  </si>
  <si>
    <t>9.2 Ligações e "Habite-se"</t>
  </si>
  <si>
    <t>MENTA-</t>
  </si>
  <si>
    <t>9.3 Outros</t>
  </si>
  <si>
    <t>DA OBRA</t>
  </si>
  <si>
    <t>CUSTO DIRETO DA CONSTRUÇÃO</t>
  </si>
  <si>
    <t>BDI (%)</t>
  </si>
  <si>
    <t>CUSTO TOTAL DA CONSTRUÇÃO</t>
  </si>
  <si>
    <t>data</t>
  </si>
  <si>
    <t>Responsável Técnico ( CREA - CPF )</t>
  </si>
  <si>
    <t>Proponente</t>
  </si>
  <si>
    <t>Engº Civil</t>
  </si>
  <si>
    <t xml:space="preserve">CREA/SP nº </t>
  </si>
  <si>
    <t>CPF nº</t>
  </si>
  <si>
    <t>Ponto de venda</t>
  </si>
  <si>
    <t>CRONOGRAMA FÍSICO - FINANCEIRO</t>
  </si>
  <si>
    <t>1 - IDENTIFICAÇÃO</t>
  </si>
  <si>
    <t xml:space="preserve"> </t>
  </si>
  <si>
    <t>Programa</t>
  </si>
  <si>
    <t>Modalidade</t>
  </si>
  <si>
    <t>Construção em terreno próprio</t>
  </si>
  <si>
    <t>CPF ou CNPJ nº</t>
  </si>
  <si>
    <t>Construtora</t>
  </si>
  <si>
    <t>Endereço</t>
  </si>
  <si>
    <t>endereço</t>
  </si>
  <si>
    <t>CNPJ nº</t>
  </si>
  <si>
    <t>Bairro</t>
  </si>
  <si>
    <t>Município</t>
  </si>
  <si>
    <t>Responsável Técnico</t>
  </si>
  <si>
    <t>CREA/SP nº:</t>
  </si>
  <si>
    <t>CPF nº:</t>
  </si>
  <si>
    <t>CREA</t>
  </si>
  <si>
    <t>CPF</t>
  </si>
  <si>
    <t>2 - CRONOGRAMA</t>
  </si>
  <si>
    <t>SERVIÇOS A EXECUTAR</t>
  </si>
  <si>
    <t xml:space="preserve">DISCRIMINAÇÃO  </t>
  </si>
  <si>
    <t xml:space="preserve">VALOR DOS  </t>
  </si>
  <si>
    <t>PESO</t>
  </si>
  <si>
    <t>EXECUTADO</t>
  </si>
  <si>
    <t xml:space="preserve">MÊS - </t>
  </si>
  <si>
    <t>MÊS -</t>
  </si>
  <si>
    <t>DE SERVIÇOS</t>
  </si>
  <si>
    <t>SERVIÇOS (R$)</t>
  </si>
  <si>
    <t>%</t>
  </si>
  <si>
    <t>SIMPL.%</t>
  </si>
  <si>
    <t>ACUM. %</t>
  </si>
  <si>
    <t>SERV. PRELIMINARES GERAIS</t>
  </si>
  <si>
    <t>INFRA-ESTRUTURA</t>
  </si>
  <si>
    <t>SUPRA-ESTRUTURA</t>
  </si>
  <si>
    <t>PAREDES E PAINÉIS</t>
  </si>
  <si>
    <t>4.1</t>
  </si>
  <si>
    <t>alvenarias</t>
  </si>
  <si>
    <t>4.2</t>
  </si>
  <si>
    <t>esquadrias metálicas</t>
  </si>
  <si>
    <t>4.3</t>
  </si>
  <si>
    <t xml:space="preserve">esquadrias de madeira </t>
  </si>
  <si>
    <t>4.4</t>
  </si>
  <si>
    <t>ferragens</t>
  </si>
  <si>
    <t>4.5</t>
  </si>
  <si>
    <t>vidros</t>
  </si>
  <si>
    <t>COBERTURA</t>
  </si>
  <si>
    <t>5.1</t>
  </si>
  <si>
    <t>telhados</t>
  </si>
  <si>
    <t>5.2</t>
  </si>
  <si>
    <t>impermeabilizações</t>
  </si>
  <si>
    <t>5.3</t>
  </si>
  <si>
    <t>tratamentos</t>
  </si>
  <si>
    <t>REVESTIMENTO</t>
  </si>
  <si>
    <t>revestimentos internos</t>
  </si>
  <si>
    <t>azulejos</t>
  </si>
  <si>
    <t>revestimentos externos</t>
  </si>
  <si>
    <t>forros</t>
  </si>
  <si>
    <t>pinturas</t>
  </si>
  <si>
    <t>especiais</t>
  </si>
  <si>
    <t>PAVIMENTAÇÃO</t>
  </si>
  <si>
    <t>7.1</t>
  </si>
  <si>
    <t>madeiras</t>
  </si>
  <si>
    <t>7.2</t>
  </si>
  <si>
    <t>cerâmicas</t>
  </si>
  <si>
    <t>7.3</t>
  </si>
  <si>
    <t>carpetes</t>
  </si>
  <si>
    <t>7.4</t>
  </si>
  <si>
    <t>cimentados</t>
  </si>
  <si>
    <t>7.5</t>
  </si>
  <si>
    <t>rodapés, soleiras e peitoris</t>
  </si>
  <si>
    <t>7.6</t>
  </si>
  <si>
    <t>pavimentações especiais</t>
  </si>
  <si>
    <t>INSTALAÇÕES</t>
  </si>
  <si>
    <t>8.1</t>
  </si>
  <si>
    <t>elétrica</t>
  </si>
  <si>
    <t>8.2</t>
  </si>
  <si>
    <t>hidraúlica</t>
  </si>
  <si>
    <t>8.3</t>
  </si>
  <si>
    <t>sanitária</t>
  </si>
  <si>
    <t>8.4</t>
  </si>
  <si>
    <t>elevadores/mecânicas</t>
  </si>
  <si>
    <t>8.5</t>
  </si>
  <si>
    <t>aparelhos</t>
  </si>
  <si>
    <t>COMPLEMENTAÇÕES</t>
  </si>
  <si>
    <t>calafete/limpeza</t>
  </si>
  <si>
    <t>9.2</t>
  </si>
  <si>
    <t>ligações e habite-se</t>
  </si>
  <si>
    <t xml:space="preserve">9.3 </t>
  </si>
  <si>
    <t>outros</t>
  </si>
  <si>
    <t>Data</t>
  </si>
  <si>
    <t>Responsável Técnico - CREA - CPF</t>
  </si>
  <si>
    <t>Responsável Técnico pela análise</t>
  </si>
  <si>
    <t>CREA/SP</t>
  </si>
  <si>
    <t>ORÇAMENTO RESUMO</t>
  </si>
  <si>
    <t>modalidade</t>
  </si>
  <si>
    <t>x</t>
  </si>
  <si>
    <t>construção</t>
  </si>
  <si>
    <t>ampl / melhoria</t>
  </si>
  <si>
    <t>aquis. ter. const.</t>
  </si>
  <si>
    <t>reforma</t>
  </si>
  <si>
    <t>Construtora (nome )</t>
  </si>
  <si>
    <t>Término de construção</t>
  </si>
  <si>
    <t>Empreendimento ( endereço )</t>
  </si>
  <si>
    <t>UF</t>
  </si>
  <si>
    <t>CEP</t>
  </si>
  <si>
    <t>2 - INSTRUÇÕES PARA PREENCHIMENTO</t>
  </si>
  <si>
    <t>O orçamento refere-se ao CUSTO TOTAL DE CONSTRUÇÃO, estando incluídas  Bonificações e Despesas Indiretas - BDI.</t>
  </si>
  <si>
    <t>O preenchimento pode ser manuscrito, devendo ser à tinta e em letra legível.</t>
  </si>
  <si>
    <t>Os valores devem ser expressos em moeda corrente.</t>
  </si>
  <si>
    <t xml:space="preserve">O orçamento discriminado deverá obedecer a itemização da folha “Orçamento Resumo” acrescentando-se os itens necessários à </t>
  </si>
  <si>
    <t>completa compreensão do mesmo.</t>
  </si>
  <si>
    <t>Os campos de percentuais devem ser apresentados com duas casas decimais, arredondada. Exemplo: 13,15; 2,00.</t>
  </si>
  <si>
    <t>O campo “Peso” refere-se ao quociente entre o valor do item ou subitem e o total do orçamento.</t>
  </si>
  <si>
    <t>3 - ORÇAMENTO RESUMO</t>
  </si>
  <si>
    <t>SERVIÇOS</t>
  </si>
  <si>
    <t>VALOR</t>
  </si>
  <si>
    <t>SERVIÇOS PRELIMINARES</t>
  </si>
  <si>
    <t xml:space="preserve">INFRA-ESTRUTURA </t>
  </si>
  <si>
    <t>PAREDES E PAINEIS</t>
  </si>
  <si>
    <t>ALVENARIA</t>
  </si>
  <si>
    <t>ESQUADRIAS METÁLICAS</t>
  </si>
  <si>
    <t>ESQUADRIAS MADEIRA</t>
  </si>
  <si>
    <t>FERRAGENS</t>
  </si>
  <si>
    <t>VIDROS</t>
  </si>
  <si>
    <t>COBERTURA E PROTEÇÕES</t>
  </si>
  <si>
    <t>TELHADOS</t>
  </si>
  <si>
    <t>IMPERMEABILIZAÇÕES</t>
  </si>
  <si>
    <t>TRATAMENTOS</t>
  </si>
  <si>
    <t>REVESTIMENTO E PINTURA</t>
  </si>
  <si>
    <t>REVESTIMENTO INTERNO</t>
  </si>
  <si>
    <t>AZULEJOS</t>
  </si>
  <si>
    <t>REVESTIMENTO EXTERNO</t>
  </si>
  <si>
    <t>FORROS</t>
  </si>
  <si>
    <t>PINTURA</t>
  </si>
  <si>
    <t>ESPECIAIS</t>
  </si>
  <si>
    <t>MADEIRA</t>
  </si>
  <si>
    <t>CERÂMICA</t>
  </si>
  <si>
    <t>CARPETE</t>
  </si>
  <si>
    <t>CIMENTADOS</t>
  </si>
  <si>
    <t>RODAPES, SOLEIRAS, PEITORIS</t>
  </si>
  <si>
    <t>INSTALAÇÕES E APARELHOS</t>
  </si>
  <si>
    <t>ELÉTRICAS</t>
  </si>
  <si>
    <t>HIDRÁULICAS/GÁS/INCÊNDIO</t>
  </si>
  <si>
    <t>SANITÁRIAS</t>
  </si>
  <si>
    <t>ELEVADORES/MECÂNICAS</t>
  </si>
  <si>
    <t>APARELHOS</t>
  </si>
  <si>
    <t>CALAFATE E LIMPEZA</t>
  </si>
  <si>
    <t>LIGAÇÕES E HABITE-SE</t>
  </si>
  <si>
    <t>OUTROS</t>
  </si>
  <si>
    <t xml:space="preserve"> Defina a espessura da laje do 1º Pav:</t>
  </si>
  <si>
    <t>Alisar</t>
  </si>
  <si>
    <t>Preencher Ap. eletrônicos...</t>
  </si>
  <si>
    <t>Preencher outros serviços</t>
  </si>
  <si>
    <t>8.</t>
  </si>
  <si>
    <t>Dimensões das janelas e portas estão representadas no projeto arquitetônico.</t>
  </si>
  <si>
    <t>9.</t>
  </si>
  <si>
    <t>Tabela de Telhas por m2</t>
  </si>
  <si>
    <t>Você tem total liberdade para fazer qualquer alteração. Converse com seu engenheiro.</t>
  </si>
  <si>
    <t xml:space="preserve">O perfil do terreno, qualidade e tipo do solo podem alterar drasticamente os valores. Converse com seu </t>
  </si>
  <si>
    <t>10.</t>
  </si>
  <si>
    <t>É muito importante a revisão dessa planilha pelo profissional da sua obra.</t>
  </si>
  <si>
    <t>Cozinhas</t>
  </si>
  <si>
    <t>M3 Areia F</t>
  </si>
  <si>
    <t>M3 Areia M</t>
  </si>
  <si>
    <t>Porta de Aluminio</t>
  </si>
  <si>
    <t>Porta de Blindex</t>
  </si>
  <si>
    <t>Disjuntor Entrada</t>
  </si>
  <si>
    <t>Interruptor 1 Tecla/1 Tomada</t>
  </si>
  <si>
    <t>Interruptor 2 Teclas/ 2 Tomadas</t>
  </si>
  <si>
    <t>Interruptor 3 Teclas/3 Tomadas</t>
  </si>
  <si>
    <t>Interruptor 4 Teclas/4 Tomadas</t>
  </si>
  <si>
    <t>Gastos com Concessionária de Energia</t>
  </si>
  <si>
    <t>Cabo Coaxial RG-6 95% (TV)</t>
  </si>
  <si>
    <t>Preço unitário a cada 3 metros</t>
  </si>
  <si>
    <t>Niple com Rosca 1,2"</t>
  </si>
  <si>
    <t>Cruzeta Soldável 25mm</t>
  </si>
  <si>
    <t>Cruzeta Roscável 32mm</t>
  </si>
  <si>
    <t>Tê Soldável Redução 25mmx32mm</t>
  </si>
  <si>
    <t>Joelho 90º de Redução 25mmx32mm</t>
  </si>
  <si>
    <t>500L</t>
  </si>
  <si>
    <t>1000L</t>
  </si>
  <si>
    <t>1500L</t>
  </si>
  <si>
    <t>2000L</t>
  </si>
  <si>
    <t>Preço Unitário a cada 2,5 metros</t>
  </si>
  <si>
    <t>Luva 40mm</t>
  </si>
  <si>
    <t>Luva 32mm</t>
  </si>
  <si>
    <t>Luva 25mm</t>
  </si>
  <si>
    <t>Misturador 25mm</t>
  </si>
  <si>
    <t>Boiler</t>
  </si>
  <si>
    <t>Tabela de Caixa D'água e Boiler</t>
  </si>
  <si>
    <t>200L</t>
  </si>
  <si>
    <t>400L</t>
  </si>
  <si>
    <t>600L</t>
  </si>
  <si>
    <t>Ver Tabela de Caixa D'água e Boiler</t>
  </si>
  <si>
    <t>Luva de 28mm</t>
  </si>
  <si>
    <t>Luva de 35mm</t>
  </si>
  <si>
    <t>Preço Unitário a cada 3m</t>
  </si>
  <si>
    <t>Luva 100mm</t>
  </si>
  <si>
    <t>Luva 50mm</t>
  </si>
  <si>
    <t>Tê 90º Esgoto 100mmx50mm</t>
  </si>
  <si>
    <t>Junção "Y" 45º 100x100mm</t>
  </si>
  <si>
    <t>Junção "Y" 45º 100x50mm</t>
  </si>
  <si>
    <t>Bucha 50mmx40mm</t>
  </si>
  <si>
    <t>Redução 100mmx50mm</t>
  </si>
  <si>
    <t>Legenda de Cores em "Observações" de "LISTA MATERIAIS"</t>
  </si>
  <si>
    <t>Verde &gt; Informações</t>
  </si>
  <si>
    <t>Portas de Madeira</t>
  </si>
  <si>
    <t>Lustre</t>
  </si>
  <si>
    <t>Escada (mão de obra + material)</t>
  </si>
  <si>
    <t>Aquecedor Solar</t>
  </si>
  <si>
    <t>inst.</t>
  </si>
  <si>
    <t>Junção "Y" 45º 32mm</t>
  </si>
  <si>
    <t>Pias de Banheiro</t>
  </si>
  <si>
    <t>Tê 90º Esgoto 100mmx40mm</t>
  </si>
  <si>
    <t>Junção "Y" 45º 50mmx50mm</t>
  </si>
  <si>
    <t xml:space="preserve">Planilhas em Azul Claro são referentes ao Financiamento da Caixa. Peça para seu Engenheiro de Confiança </t>
  </si>
  <si>
    <t>Planilha em Azul Escuro serve como controle da qualidade e verificação da obra. Marque conforme seu desejo.</t>
  </si>
  <si>
    <t>11.</t>
  </si>
  <si>
    <t>12.</t>
  </si>
  <si>
    <t>13.</t>
  </si>
  <si>
    <t>14.</t>
  </si>
  <si>
    <t>Planilhas em Laranja servem para seu controle de gastos e de material. Altere conforme necessário.</t>
  </si>
  <si>
    <t>Planilha "Resultados" em verde apresenta de forma resumida o planejamento e os gastos da obra.</t>
  </si>
  <si>
    <t>preenchê-la caso queira o financiamento.</t>
  </si>
  <si>
    <t>Vermelho &gt; Preencha se desejar</t>
  </si>
  <si>
    <t>Adicionar Luvas</t>
  </si>
  <si>
    <t>Se dá para imaginar, dá para fazer.</t>
  </si>
  <si>
    <t>Se dá para imaginar,</t>
  </si>
  <si>
    <t>dá para fazer.</t>
  </si>
  <si>
    <t>Luminária de Teto Retângular</t>
  </si>
  <si>
    <t>Caixa Alumínio 300x300x120 mm</t>
  </si>
  <si>
    <t>Caixa Alumínio 200x200x120 mm</t>
  </si>
  <si>
    <t xml:space="preserve">Fita LED Branca </t>
  </si>
  <si>
    <t>Junção "Y" 45º 100mmx40mm</t>
  </si>
  <si>
    <t>Tê 90º Esgoto 40mmx40mm</t>
  </si>
  <si>
    <t>Manta Asfáltica (mão de obra + material)</t>
  </si>
</sst>
</file>

<file path=xl/styles.xml><?xml version="1.0" encoding="utf-8"?>
<styleSheet xmlns="http://schemas.openxmlformats.org/spreadsheetml/2006/main">
  <numFmts count="9">
    <numFmt numFmtId="44" formatCode="_-&quot;R$&quot;\ * #,##0.00_-;\-&quot;R$&quot;\ * #,##0.00_-;_-&quot;R$&quot;\ * &quot;-&quot;??_-;_-@_-"/>
    <numFmt numFmtId="164" formatCode="0.000000"/>
    <numFmt numFmtId="165" formatCode="&quot;R$&quot;\ #,##0.00"/>
    <numFmt numFmtId="166" formatCode="0.0000000"/>
    <numFmt numFmtId="167" formatCode="0.00_)"/>
    <numFmt numFmtId="168" formatCode="&quot;R$&quot;#,##0.00_);[Red]\(&quot;R$&quot;#,##0.00\)"/>
    <numFmt numFmtId="169" formatCode="&quot;R$ &quot;#,##0.00_);[Red]\(&quot;R$ &quot;#,##0.00\)"/>
    <numFmt numFmtId="170" formatCode="&quot;R$&quot;\ #,##0.00;[Red]&quot;R$&quot;\ #,##0.00"/>
    <numFmt numFmtId="171" formatCode="&quot;R$&quot;#,##0.00_);\(&quot;R$&quot;#,##0.00\)"/>
  </numFmts>
  <fonts count="5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8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6" tint="0.59999389629810485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Tahoma"/>
      <family val="2"/>
    </font>
    <font>
      <sz val="10"/>
      <name val="Arial"/>
      <family val="2"/>
    </font>
    <font>
      <sz val="8"/>
      <color indexed="10"/>
      <name val="MS Sans Serif"/>
      <family val="2"/>
    </font>
    <font>
      <sz val="8"/>
      <color indexed="12"/>
      <name val="MS Sans Serif"/>
      <family val="2"/>
    </font>
    <font>
      <sz val="7"/>
      <color indexed="12"/>
      <name val="MS Sans Serif"/>
      <family val="2"/>
    </font>
    <font>
      <sz val="8"/>
      <name val="MS Sans Serif"/>
      <family val="2"/>
    </font>
    <font>
      <sz val="6"/>
      <name val="MS Sans Serif"/>
      <family val="2"/>
    </font>
    <font>
      <b/>
      <sz val="8"/>
      <color indexed="10"/>
      <name val="MS Sans Serif"/>
      <family val="2"/>
    </font>
    <font>
      <sz val="6.5"/>
      <name val="Arial"/>
      <family val="2"/>
    </font>
    <font>
      <sz val="8"/>
      <name val="Arial"/>
      <family val="2"/>
    </font>
    <font>
      <sz val="8.5"/>
      <name val="MS Sans Serif"/>
      <family val="2"/>
    </font>
    <font>
      <b/>
      <sz val="8.5"/>
      <name val="MS Sans Serif"/>
      <family val="2"/>
    </font>
    <font>
      <sz val="10"/>
      <name val="MS Sans Serif"/>
      <family val="2"/>
    </font>
    <font>
      <b/>
      <sz val="8"/>
      <name val="Arial"/>
      <family val="2"/>
    </font>
    <font>
      <b/>
      <sz val="8"/>
      <name val="MS Sans Serif"/>
      <family val="2"/>
    </font>
    <font>
      <sz val="6"/>
      <color indexed="12"/>
      <name val="MS Sans Serif"/>
      <family val="2"/>
    </font>
    <font>
      <b/>
      <sz val="8"/>
      <color indexed="12"/>
      <name val="MS Sans Serif"/>
      <family val="2"/>
    </font>
    <font>
      <b/>
      <sz val="10"/>
      <color indexed="10"/>
      <name val="MS Sans Serif"/>
      <family val="2"/>
    </font>
    <font>
      <sz val="10"/>
      <color indexed="12"/>
      <name val="MS Sans Serif"/>
      <family val="2"/>
    </font>
    <font>
      <b/>
      <sz val="10"/>
      <name val="MS Sans Serif"/>
      <family val="2"/>
    </font>
    <font>
      <b/>
      <sz val="10"/>
      <color indexed="12"/>
      <name val="MS Sans Serif"/>
      <family val="2"/>
    </font>
    <font>
      <sz val="7"/>
      <name val="MS Sans Serif"/>
      <family val="2"/>
    </font>
    <font>
      <sz val="7"/>
      <color indexed="56"/>
      <name val="MS Sans Serif"/>
      <family val="2"/>
    </font>
    <font>
      <sz val="6"/>
      <color indexed="9"/>
      <name val="MS Sans Serif"/>
      <family val="2"/>
    </font>
    <font>
      <b/>
      <sz val="6.5"/>
      <name val="Arial"/>
      <family val="2"/>
    </font>
    <font>
      <b/>
      <sz val="10"/>
      <name val="Arial"/>
      <family val="2"/>
    </font>
    <font>
      <b/>
      <sz val="8.5"/>
      <name val="Arial"/>
      <family val="2"/>
    </font>
    <font>
      <sz val="8"/>
      <color indexed="81"/>
      <name val="Tahoma"/>
      <family val="2"/>
    </font>
    <font>
      <sz val="18"/>
      <name val="Arial"/>
      <family val="2"/>
    </font>
    <font>
      <sz val="2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.5"/>
      <name val="Arial"/>
      <family val="2"/>
    </font>
    <font>
      <b/>
      <sz val="8"/>
      <color indexed="81"/>
      <name val="Tahoma"/>
      <family val="2"/>
    </font>
    <font>
      <sz val="6.5"/>
      <name val="MS Sans Serif"/>
      <family val="2"/>
    </font>
    <font>
      <sz val="9.5"/>
      <name val="MS Sans Serif"/>
      <family val="2"/>
    </font>
    <font>
      <b/>
      <sz val="6.5"/>
      <name val="MS Sans Serif"/>
      <family val="2"/>
    </font>
    <font>
      <b/>
      <sz val="9.5"/>
      <name val="MS Sans Serif"/>
      <family val="2"/>
    </font>
    <font>
      <sz val="6.6"/>
      <name val="Arial"/>
      <family val="2"/>
    </font>
    <font>
      <sz val="11"/>
      <color rgb="FF00B05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6903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4D79D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6"/>
        <bgColor indexed="64"/>
      </patternFill>
    </fill>
    <fill>
      <patternFill patternType="gray0625">
        <fgColor indexed="8"/>
      </patternFill>
    </fill>
    <fill>
      <patternFill patternType="lightTrellis">
        <fgColor indexed="8"/>
      </patternFill>
    </fill>
    <fill>
      <patternFill patternType="solid">
        <fgColor indexed="65"/>
        <bgColor indexed="8"/>
      </patternFill>
    </fill>
    <fill>
      <patternFill patternType="solid">
        <fgColor indexed="65"/>
        <bgColor indexed="64"/>
      </patternFill>
    </fill>
    <fill>
      <patternFill patternType="lightTrellis"/>
    </fill>
    <fill>
      <patternFill patternType="gray125">
        <fgColor indexed="8"/>
      </patternFill>
    </fill>
    <fill>
      <patternFill patternType="solid">
        <fgColor indexed="47"/>
        <bgColor indexed="64"/>
      </patternFill>
    </fill>
    <fill>
      <patternFill patternType="lightDown"/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</cellStyleXfs>
  <cellXfs count="1163">
    <xf numFmtId="0" fontId="0" fillId="0" borderId="0" xfId="0"/>
    <xf numFmtId="0" fontId="2" fillId="0" borderId="0" xfId="0" applyFont="1"/>
    <xf numFmtId="0" fontId="0" fillId="2" borderId="1" xfId="0" applyFill="1" applyBorder="1"/>
    <xf numFmtId="0" fontId="0" fillId="2" borderId="0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3" fillId="2" borderId="0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0" fillId="2" borderId="12" xfId="0" applyFill="1" applyBorder="1"/>
    <xf numFmtId="0" fontId="0" fillId="2" borderId="10" xfId="0" applyFill="1" applyBorder="1"/>
    <xf numFmtId="0" fontId="0" fillId="2" borderId="11" xfId="0" applyFill="1" applyBorder="1"/>
    <xf numFmtId="0" fontId="0" fillId="4" borderId="1" xfId="0" applyFill="1" applyBorder="1"/>
    <xf numFmtId="0" fontId="0" fillId="6" borderId="1" xfId="0" applyFill="1" applyBorder="1"/>
    <xf numFmtId="0" fontId="0" fillId="6" borderId="11" xfId="0" applyFill="1" applyBorder="1"/>
    <xf numFmtId="0" fontId="4" fillId="4" borderId="1" xfId="0" applyFont="1" applyFill="1" applyBorder="1"/>
    <xf numFmtId="0" fontId="0" fillId="7" borderId="1" xfId="0" applyFill="1" applyBorder="1"/>
    <xf numFmtId="0" fontId="4" fillId="7" borderId="1" xfId="0" applyFont="1" applyFill="1" applyBorder="1"/>
    <xf numFmtId="0" fontId="4" fillId="7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5" fillId="0" borderId="0" xfId="0" applyFont="1" applyFill="1" applyBorder="1" applyAlignment="1"/>
    <xf numFmtId="0" fontId="5" fillId="2" borderId="6" xfId="0" applyFont="1" applyFill="1" applyBorder="1" applyAlignment="1"/>
    <xf numFmtId="0" fontId="0" fillId="2" borderId="15" xfId="0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10" xfId="0" applyFill="1" applyBorder="1"/>
    <xf numFmtId="0" fontId="0" fillId="5" borderId="6" xfId="0" applyFill="1" applyBorder="1"/>
    <xf numFmtId="0" fontId="0" fillId="5" borderId="9" xfId="0" applyFill="1" applyBorder="1"/>
    <xf numFmtId="0" fontId="0" fillId="5" borderId="4" xfId="0" applyFill="1" applyBorder="1"/>
    <xf numFmtId="0" fontId="0" fillId="5" borderId="14" xfId="0" applyFill="1" applyBorder="1"/>
    <xf numFmtId="0" fontId="0" fillId="3" borderId="0" xfId="0" applyFill="1" applyBorder="1"/>
    <xf numFmtId="0" fontId="4" fillId="4" borderId="13" xfId="0" applyFont="1" applyFill="1" applyBorder="1"/>
    <xf numFmtId="0" fontId="0" fillId="5" borderId="2" xfId="0" applyFill="1" applyBorder="1"/>
    <xf numFmtId="0" fontId="0" fillId="7" borderId="13" xfId="0" applyFill="1" applyBorder="1"/>
    <xf numFmtId="0" fontId="0" fillId="5" borderId="8" xfId="0" applyFill="1" applyBorder="1"/>
    <xf numFmtId="0" fontId="0" fillId="0" borderId="0" xfId="0" applyBorder="1"/>
    <xf numFmtId="0" fontId="0" fillId="4" borderId="11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5" borderId="13" xfId="0" applyFill="1" applyBorder="1"/>
    <xf numFmtId="0" fontId="0" fillId="5" borderId="15" xfId="0" applyFill="1" applyBorder="1"/>
    <xf numFmtId="0" fontId="0" fillId="5" borderId="7" xfId="0" applyFill="1" applyBorder="1"/>
    <xf numFmtId="0" fontId="0" fillId="4" borderId="2" xfId="0" applyFill="1" applyBorder="1"/>
    <xf numFmtId="0" fontId="0" fillId="3" borderId="4" xfId="0" applyFill="1" applyBorder="1"/>
    <xf numFmtId="0" fontId="0" fillId="3" borderId="6" xfId="0" applyFill="1" applyBorder="1"/>
    <xf numFmtId="0" fontId="0" fillId="3" borderId="14" xfId="0" applyFill="1" applyBorder="1"/>
    <xf numFmtId="0" fontId="0" fillId="3" borderId="9" xfId="0" applyFill="1" applyBorder="1"/>
    <xf numFmtId="0" fontId="0" fillId="3" borderId="7" xfId="0" applyFill="1" applyBorder="1"/>
    <xf numFmtId="0" fontId="0" fillId="3" borderId="12" xfId="0" applyFill="1" applyBorder="1"/>
    <xf numFmtId="0" fontId="0" fillId="3" borderId="5" xfId="0" applyFill="1" applyBorder="1"/>
    <xf numFmtId="0" fontId="0" fillId="3" borderId="0" xfId="0" applyFill="1"/>
    <xf numFmtId="0" fontId="0" fillId="3" borderId="8" xfId="0" applyFill="1" applyBorder="1"/>
    <xf numFmtId="0" fontId="0" fillId="3" borderId="2" xfId="0" applyFill="1" applyBorder="1"/>
    <xf numFmtId="0" fontId="0" fillId="4" borderId="13" xfId="0" applyFill="1" applyBorder="1"/>
    <xf numFmtId="0" fontId="4" fillId="5" borderId="14" xfId="0" applyFont="1" applyFill="1" applyBorder="1"/>
    <xf numFmtId="0" fontId="4" fillId="5" borderId="15" xfId="0" applyFont="1" applyFill="1" applyBorder="1"/>
    <xf numFmtId="164" fontId="0" fillId="7" borderId="1" xfId="0" applyNumberFormat="1" applyFill="1" applyBorder="1"/>
    <xf numFmtId="165" fontId="0" fillId="7" borderId="1" xfId="0" applyNumberFormat="1" applyFill="1" applyBorder="1"/>
    <xf numFmtId="165" fontId="0" fillId="7" borderId="1" xfId="1" applyNumberFormat="1" applyFont="1" applyFill="1" applyBorder="1" applyAlignment="1"/>
    <xf numFmtId="9" fontId="0" fillId="7" borderId="1" xfId="2" applyFont="1" applyFill="1" applyBorder="1"/>
    <xf numFmtId="0" fontId="0" fillId="7" borderId="1" xfId="0" applyFill="1" applyBorder="1" applyAlignment="1">
      <alignment wrapText="1"/>
    </xf>
    <xf numFmtId="0" fontId="0" fillId="3" borderId="11" xfId="0" applyFill="1" applyBorder="1"/>
    <xf numFmtId="166" fontId="0" fillId="4" borderId="1" xfId="0" applyNumberFormat="1" applyFill="1" applyBorder="1"/>
    <xf numFmtId="0" fontId="7" fillId="3" borderId="8" xfId="0" applyFont="1" applyFill="1" applyBorder="1"/>
    <xf numFmtId="0" fontId="0" fillId="5" borderId="0" xfId="0" applyFill="1"/>
    <xf numFmtId="0" fontId="0" fillId="0" borderId="14" xfId="0" applyBorder="1"/>
    <xf numFmtId="0" fontId="0" fillId="5" borderId="0" xfId="0" applyFill="1" applyBorder="1"/>
    <xf numFmtId="0" fontId="8" fillId="0" borderId="0" xfId="0" applyFont="1"/>
    <xf numFmtId="0" fontId="8" fillId="0" borderId="0" xfId="0" applyFont="1" applyFill="1"/>
    <xf numFmtId="0" fontId="0" fillId="0" borderId="6" xfId="0" applyBorder="1"/>
    <xf numFmtId="0" fontId="0" fillId="8" borderId="1" xfId="0" applyFill="1" applyBorder="1"/>
    <xf numFmtId="0" fontId="0" fillId="9" borderId="1" xfId="0" applyFill="1" applyBorder="1"/>
    <xf numFmtId="0" fontId="4" fillId="11" borderId="10" xfId="0" applyFont="1" applyFill="1" applyBorder="1"/>
    <xf numFmtId="165" fontId="4" fillId="11" borderId="1" xfId="0" applyNumberFormat="1" applyFont="1" applyFill="1" applyBorder="1"/>
    <xf numFmtId="165" fontId="4" fillId="10" borderId="1" xfId="0" applyNumberFormat="1" applyFont="1" applyFill="1" applyBorder="1"/>
    <xf numFmtId="0" fontId="9" fillId="0" borderId="0" xfId="0" applyFont="1"/>
    <xf numFmtId="0" fontId="0" fillId="11" borderId="1" xfId="0" applyFill="1" applyBorder="1"/>
    <xf numFmtId="165" fontId="0" fillId="11" borderId="1" xfId="0" applyNumberFormat="1" applyFill="1" applyBorder="1"/>
    <xf numFmtId="165" fontId="0" fillId="12" borderId="1" xfId="0" applyNumberFormat="1" applyFill="1" applyBorder="1"/>
    <xf numFmtId="0" fontId="4" fillId="12" borderId="12" xfId="0" applyFont="1" applyFill="1" applyBorder="1"/>
    <xf numFmtId="165" fontId="4" fillId="12" borderId="1" xfId="0" applyNumberFormat="1" applyFont="1" applyFill="1" applyBorder="1"/>
    <xf numFmtId="0" fontId="4" fillId="10" borderId="10" xfId="0" applyFont="1" applyFill="1" applyBorder="1" applyAlignment="1">
      <alignment horizontal="center"/>
    </xf>
    <xf numFmtId="0" fontId="0" fillId="7" borderId="1" xfId="0" applyNumberFormat="1" applyFill="1" applyBorder="1"/>
    <xf numFmtId="0" fontId="10" fillId="9" borderId="1" xfId="0" applyFont="1" applyFill="1" applyBorder="1"/>
    <xf numFmtId="0" fontId="0" fillId="9" borderId="1" xfId="0" applyFill="1" applyBorder="1" applyAlignment="1"/>
    <xf numFmtId="0" fontId="4" fillId="9" borderId="12" xfId="0" applyFont="1" applyFill="1" applyBorder="1" applyAlignment="1"/>
    <xf numFmtId="0" fontId="4" fillId="9" borderId="10" xfId="0" applyFont="1" applyFill="1" applyBorder="1" applyAlignment="1"/>
    <xf numFmtId="0" fontId="0" fillId="7" borderId="16" xfId="0" applyFill="1" applyBorder="1"/>
    <xf numFmtId="0" fontId="0" fillId="9" borderId="16" xfId="0" applyFill="1" applyBorder="1"/>
    <xf numFmtId="165" fontId="4" fillId="12" borderId="16" xfId="0" applyNumberFormat="1" applyFont="1" applyFill="1" applyBorder="1"/>
    <xf numFmtId="0" fontId="0" fillId="12" borderId="10" xfId="0" applyFill="1" applyBorder="1"/>
    <xf numFmtId="0" fontId="0" fillId="11" borderId="10" xfId="0" applyFill="1" applyBorder="1"/>
    <xf numFmtId="165" fontId="0" fillId="11" borderId="10" xfId="0" applyNumberFormat="1" applyFill="1" applyBorder="1"/>
    <xf numFmtId="165" fontId="0" fillId="12" borderId="16" xfId="0" applyNumberFormat="1" applyFill="1" applyBorder="1"/>
    <xf numFmtId="165" fontId="4" fillId="11" borderId="16" xfId="0" applyNumberFormat="1" applyFont="1" applyFill="1" applyBorder="1"/>
    <xf numFmtId="0" fontId="0" fillId="10" borderId="10" xfId="0" applyFill="1" applyBorder="1"/>
    <xf numFmtId="165" fontId="0" fillId="11" borderId="16" xfId="0" applyNumberFormat="1" applyFill="1" applyBorder="1"/>
    <xf numFmtId="0" fontId="4" fillId="10" borderId="16" xfId="0" applyFont="1" applyFill="1" applyBorder="1" applyAlignment="1">
      <alignment horizontal="center"/>
    </xf>
    <xf numFmtId="0" fontId="0" fillId="8" borderId="28" xfId="0" applyFill="1" applyBorder="1"/>
    <xf numFmtId="0" fontId="0" fillId="9" borderId="28" xfId="0" applyFill="1" applyBorder="1"/>
    <xf numFmtId="0" fontId="0" fillId="9" borderId="29" xfId="0" applyFill="1" applyBorder="1"/>
    <xf numFmtId="0" fontId="4" fillId="12" borderId="25" xfId="0" applyFont="1" applyFill="1" applyBorder="1"/>
    <xf numFmtId="165" fontId="4" fillId="12" borderId="28" xfId="0" applyNumberFormat="1" applyFont="1" applyFill="1" applyBorder="1"/>
    <xf numFmtId="165" fontId="4" fillId="12" borderId="29" xfId="0" applyNumberFormat="1" applyFont="1" applyFill="1" applyBorder="1"/>
    <xf numFmtId="0" fontId="4" fillId="11" borderId="27" xfId="0" applyFont="1" applyFill="1" applyBorder="1"/>
    <xf numFmtId="165" fontId="4" fillId="11" borderId="28" xfId="0" applyNumberFormat="1" applyFont="1" applyFill="1" applyBorder="1"/>
    <xf numFmtId="165" fontId="4" fillId="11" borderId="29" xfId="0" applyNumberFormat="1" applyFont="1" applyFill="1" applyBorder="1"/>
    <xf numFmtId="0" fontId="4" fillId="10" borderId="27" xfId="0" applyFont="1" applyFill="1" applyBorder="1" applyAlignment="1">
      <alignment horizontal="center"/>
    </xf>
    <xf numFmtId="165" fontId="4" fillId="10" borderId="28" xfId="0" applyNumberFormat="1" applyFont="1" applyFill="1" applyBorder="1"/>
    <xf numFmtId="0" fontId="4" fillId="10" borderId="29" xfId="0" applyFont="1" applyFill="1" applyBorder="1" applyAlignment="1">
      <alignment horizontal="center"/>
    </xf>
    <xf numFmtId="0" fontId="0" fillId="8" borderId="15" xfId="0" applyFill="1" applyBorder="1"/>
    <xf numFmtId="0" fontId="0" fillId="9" borderId="15" xfId="0" applyFill="1" applyBorder="1"/>
    <xf numFmtId="0" fontId="0" fillId="9" borderId="26" xfId="0" applyFill="1" applyBorder="1"/>
    <xf numFmtId="0" fontId="0" fillId="12" borderId="9" xfId="0" applyFill="1" applyBorder="1"/>
    <xf numFmtId="165" fontId="0" fillId="12" borderId="15" xfId="0" applyNumberFormat="1" applyFill="1" applyBorder="1"/>
    <xf numFmtId="165" fontId="0" fillId="12" borderId="26" xfId="0" applyNumberFormat="1" applyFill="1" applyBorder="1"/>
    <xf numFmtId="0" fontId="0" fillId="11" borderId="9" xfId="0" applyFill="1" applyBorder="1"/>
    <xf numFmtId="165" fontId="0" fillId="11" borderId="15" xfId="0" applyNumberFormat="1" applyFill="1" applyBorder="1"/>
    <xf numFmtId="165" fontId="0" fillId="11" borderId="26" xfId="0" applyNumberFormat="1" applyFill="1" applyBorder="1"/>
    <xf numFmtId="0" fontId="4" fillId="10" borderId="9" xfId="0" applyFont="1" applyFill="1" applyBorder="1" applyAlignment="1">
      <alignment horizontal="center"/>
    </xf>
    <xf numFmtId="165" fontId="4" fillId="10" borderId="15" xfId="0" applyNumberFormat="1" applyFont="1" applyFill="1" applyBorder="1"/>
    <xf numFmtId="0" fontId="4" fillId="10" borderId="26" xfId="0" applyFont="1" applyFill="1" applyBorder="1" applyAlignment="1">
      <alignment horizontal="center"/>
    </xf>
    <xf numFmtId="0" fontId="0" fillId="13" borderId="32" xfId="0" applyFill="1" applyBorder="1" applyAlignment="1">
      <alignment horizontal="right"/>
    </xf>
    <xf numFmtId="0" fontId="0" fillId="13" borderId="32" xfId="0" applyFill="1" applyBorder="1"/>
    <xf numFmtId="0" fontId="0" fillId="13" borderId="33" xfId="0" applyFill="1" applyBorder="1"/>
    <xf numFmtId="0" fontId="0" fillId="13" borderId="30" xfId="0" applyFill="1" applyBorder="1"/>
    <xf numFmtId="165" fontId="0" fillId="13" borderId="32" xfId="0" applyNumberFormat="1" applyFill="1" applyBorder="1"/>
    <xf numFmtId="165" fontId="0" fillId="13" borderId="33" xfId="0" applyNumberFormat="1" applyFill="1" applyBorder="1"/>
    <xf numFmtId="0" fontId="0" fillId="13" borderId="31" xfId="0" applyFill="1" applyBorder="1"/>
    <xf numFmtId="0" fontId="0" fillId="13" borderId="31" xfId="0" applyFill="1" applyBorder="1" applyAlignment="1">
      <alignment horizontal="center"/>
    </xf>
    <xf numFmtId="0" fontId="0" fillId="13" borderId="33" xfId="0" applyFill="1" applyBorder="1" applyAlignment="1">
      <alignment horizontal="center"/>
    </xf>
    <xf numFmtId="0" fontId="0" fillId="12" borderId="27" xfId="0" applyFill="1" applyBorder="1"/>
    <xf numFmtId="165" fontId="0" fillId="12" borderId="28" xfId="0" applyNumberFormat="1" applyFill="1" applyBorder="1"/>
    <xf numFmtId="165" fontId="0" fillId="12" borderId="29" xfId="0" applyNumberFormat="1" applyFill="1" applyBorder="1"/>
    <xf numFmtId="0" fontId="0" fillId="11" borderId="27" xfId="0" applyFill="1" applyBorder="1"/>
    <xf numFmtId="165" fontId="0" fillId="11" borderId="28" xfId="0" applyNumberFormat="1" applyFill="1" applyBorder="1"/>
    <xf numFmtId="165" fontId="0" fillId="11" borderId="29" xfId="0" applyNumberFormat="1" applyFill="1" applyBorder="1"/>
    <xf numFmtId="0" fontId="0" fillId="11" borderId="15" xfId="0" applyFill="1" applyBorder="1"/>
    <xf numFmtId="0" fontId="0" fillId="10" borderId="9" xfId="0" applyFill="1" applyBorder="1"/>
    <xf numFmtId="0" fontId="0" fillId="13" borderId="36" xfId="0" applyFill="1" applyBorder="1" applyAlignment="1">
      <alignment horizontal="right"/>
    </xf>
    <xf numFmtId="0" fontId="0" fillId="13" borderId="36" xfId="0" applyFill="1" applyBorder="1"/>
    <xf numFmtId="0" fontId="0" fillId="13" borderId="37" xfId="0" applyFill="1" applyBorder="1"/>
    <xf numFmtId="0" fontId="0" fillId="13" borderId="34" xfId="0" applyFill="1" applyBorder="1"/>
    <xf numFmtId="165" fontId="0" fillId="13" borderId="36" xfId="0" applyNumberFormat="1" applyFill="1" applyBorder="1"/>
    <xf numFmtId="165" fontId="0" fillId="13" borderId="37" xfId="0" applyNumberFormat="1" applyFill="1" applyBorder="1"/>
    <xf numFmtId="0" fontId="0" fillId="13" borderId="35" xfId="0" applyFill="1" applyBorder="1"/>
    <xf numFmtId="0" fontId="0" fillId="13" borderId="37" xfId="0" applyFill="1" applyBorder="1" applyAlignment="1">
      <alignment horizontal="center"/>
    </xf>
    <xf numFmtId="0" fontId="0" fillId="11" borderId="28" xfId="0" applyFill="1" applyBorder="1"/>
    <xf numFmtId="0" fontId="0" fillId="10" borderId="27" xfId="0" applyFill="1" applyBorder="1"/>
    <xf numFmtId="165" fontId="0" fillId="11" borderId="9" xfId="0" applyNumberFormat="1" applyFill="1" applyBorder="1"/>
    <xf numFmtId="165" fontId="0" fillId="11" borderId="27" xfId="0" applyNumberFormat="1" applyFill="1" applyBorder="1"/>
    <xf numFmtId="0" fontId="0" fillId="13" borderId="14" xfId="0" applyFill="1" applyBorder="1" applyAlignment="1">
      <alignment horizontal="right"/>
    </xf>
    <xf numFmtId="0" fontId="0" fillId="5" borderId="5" xfId="0" applyFill="1" applyBorder="1"/>
    <xf numFmtId="0" fontId="4" fillId="12" borderId="8" xfId="0" applyFont="1" applyFill="1" applyBorder="1"/>
    <xf numFmtId="165" fontId="4" fillId="12" borderId="15" xfId="0" applyNumberFormat="1" applyFont="1" applyFill="1" applyBorder="1"/>
    <xf numFmtId="165" fontId="4" fillId="12" borderId="26" xfId="0" applyNumberFormat="1" applyFont="1" applyFill="1" applyBorder="1"/>
    <xf numFmtId="0" fontId="4" fillId="11" borderId="9" xfId="0" applyFont="1" applyFill="1" applyBorder="1"/>
    <xf numFmtId="165" fontId="4" fillId="11" borderId="15" xfId="0" applyNumberFormat="1" applyFont="1" applyFill="1" applyBorder="1"/>
    <xf numFmtId="165" fontId="4" fillId="11" borderId="26" xfId="0" applyNumberFormat="1" applyFont="1" applyFill="1" applyBorder="1"/>
    <xf numFmtId="0" fontId="4" fillId="2" borderId="28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12" borderId="27" xfId="0" applyFont="1" applyFill="1" applyBorder="1" applyAlignment="1">
      <alignment horizontal="center"/>
    </xf>
    <xf numFmtId="0" fontId="4" fillId="12" borderId="28" xfId="0" applyFont="1" applyFill="1" applyBorder="1" applyAlignment="1">
      <alignment horizontal="center"/>
    </xf>
    <xf numFmtId="0" fontId="4" fillId="12" borderId="29" xfId="0" applyFont="1" applyFill="1" applyBorder="1" applyAlignment="1">
      <alignment horizontal="center"/>
    </xf>
    <xf numFmtId="0" fontId="4" fillId="11" borderId="27" xfId="0" applyFont="1" applyFill="1" applyBorder="1" applyAlignment="1">
      <alignment horizontal="center"/>
    </xf>
    <xf numFmtId="0" fontId="4" fillId="11" borderId="28" xfId="0" applyFont="1" applyFill="1" applyBorder="1" applyAlignment="1">
      <alignment horizontal="center"/>
    </xf>
    <xf numFmtId="0" fontId="4" fillId="11" borderId="29" xfId="0" applyFont="1" applyFill="1" applyBorder="1" applyAlignment="1">
      <alignment horizontal="center"/>
    </xf>
    <xf numFmtId="0" fontId="4" fillId="10" borderId="28" xfId="0" applyFont="1" applyFill="1" applyBorder="1" applyAlignment="1">
      <alignment horizontal="center"/>
    </xf>
    <xf numFmtId="0" fontId="4" fillId="10" borderId="45" xfId="0" applyFont="1" applyFill="1" applyBorder="1" applyAlignment="1">
      <alignment horizontal="center"/>
    </xf>
    <xf numFmtId="0" fontId="0" fillId="5" borderId="3" xfId="0" applyFill="1" applyBorder="1"/>
    <xf numFmtId="0" fontId="0" fillId="5" borderId="6" xfId="0" applyFill="1" applyBorder="1" applyAlignment="1"/>
    <xf numFmtId="0" fontId="0" fillId="9" borderId="12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165" fontId="4" fillId="10" borderId="45" xfId="0" applyNumberFormat="1" applyFont="1" applyFill="1" applyBorder="1"/>
    <xf numFmtId="0" fontId="4" fillId="10" borderId="46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0" fillId="14" borderId="23" xfId="0" applyFill="1" applyBorder="1"/>
    <xf numFmtId="0" fontId="0" fillId="14" borderId="16" xfId="0" applyFill="1" applyBorder="1"/>
    <xf numFmtId="0" fontId="0" fillId="14" borderId="50" xfId="0" applyFill="1" applyBorder="1"/>
    <xf numFmtId="0" fontId="0" fillId="14" borderId="46" xfId="0" applyFill="1" applyBorder="1"/>
    <xf numFmtId="0" fontId="0" fillId="15" borderId="41" xfId="0" applyFill="1" applyBorder="1"/>
    <xf numFmtId="0" fontId="0" fillId="15" borderId="33" xfId="0" applyFill="1" applyBorder="1"/>
    <xf numFmtId="0" fontId="0" fillId="9" borderId="46" xfId="0" applyFill="1" applyBorder="1"/>
    <xf numFmtId="165" fontId="0" fillId="9" borderId="23" xfId="0" applyNumberFormat="1" applyFill="1" applyBorder="1"/>
    <xf numFmtId="165" fontId="0" fillId="9" borderId="50" xfId="0" applyNumberFormat="1" applyFill="1" applyBorder="1"/>
    <xf numFmtId="165" fontId="0" fillId="12" borderId="48" xfId="0" applyNumberFormat="1" applyFill="1" applyBorder="1"/>
    <xf numFmtId="165" fontId="0" fillId="11" borderId="48" xfId="0" applyNumberFormat="1" applyFill="1" applyBorder="1"/>
    <xf numFmtId="165" fontId="0" fillId="12" borderId="49" xfId="0" applyNumberFormat="1" applyFill="1" applyBorder="1"/>
    <xf numFmtId="165" fontId="0" fillId="11" borderId="49" xfId="0" applyNumberFormat="1" applyFill="1" applyBorder="1"/>
    <xf numFmtId="165" fontId="0" fillId="15" borderId="38" xfId="0" applyNumberFormat="1" applyFill="1" applyBorder="1"/>
    <xf numFmtId="165" fontId="0" fillId="14" borderId="1" xfId="0" applyNumberFormat="1" applyFill="1" applyBorder="1"/>
    <xf numFmtId="165" fontId="0" fillId="14" borderId="13" xfId="0" applyNumberFormat="1" applyFill="1" applyBorder="1"/>
    <xf numFmtId="165" fontId="0" fillId="15" borderId="32" xfId="0" applyNumberFormat="1" applyFill="1" applyBorder="1"/>
    <xf numFmtId="0" fontId="0" fillId="15" borderId="30" xfId="0" applyFill="1" applyBorder="1"/>
    <xf numFmtId="0" fontId="0" fillId="9" borderId="12" xfId="0" applyNumberFormat="1" applyFill="1" applyBorder="1"/>
    <xf numFmtId="0" fontId="0" fillId="9" borderId="3" xfId="0" applyNumberFormat="1" applyFill="1" applyBorder="1"/>
    <xf numFmtId="0" fontId="0" fillId="2" borderId="52" xfId="0" applyFill="1" applyBorder="1"/>
    <xf numFmtId="0" fontId="0" fillId="2" borderId="42" xfId="0" applyFill="1" applyBorder="1"/>
    <xf numFmtId="0" fontId="0" fillId="2" borderId="53" xfId="0" applyFill="1" applyBorder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2" borderId="34" xfId="0" applyFill="1" applyBorder="1"/>
    <xf numFmtId="0" fontId="0" fillId="2" borderId="57" xfId="0" applyFill="1" applyBorder="1"/>
    <xf numFmtId="0" fontId="0" fillId="0" borderId="0" xfId="0" applyFill="1" applyBorder="1" applyAlignment="1">
      <alignment horizontal="center"/>
    </xf>
    <xf numFmtId="0" fontId="0" fillId="8" borderId="52" xfId="0" applyFill="1" applyBorder="1"/>
    <xf numFmtId="0" fontId="0" fillId="8" borderId="54" xfId="0" applyFill="1" applyBorder="1"/>
    <xf numFmtId="0" fontId="0" fillId="8" borderId="6" xfId="0" applyFill="1" applyBorder="1"/>
    <xf numFmtId="0" fontId="0" fillId="8" borderId="24" xfId="0" applyFill="1" applyBorder="1"/>
    <xf numFmtId="0" fontId="0" fillId="8" borderId="58" xfId="0" applyFill="1" applyBorder="1"/>
    <xf numFmtId="0" fontId="0" fillId="5" borderId="42" xfId="0" applyFill="1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6" fillId="0" borderId="0" xfId="0" applyFont="1" applyFill="1" applyBorder="1" applyAlignment="1"/>
    <xf numFmtId="0" fontId="0" fillId="5" borderId="43" xfId="0" applyFill="1" applyBorder="1"/>
    <xf numFmtId="0" fontId="0" fillId="5" borderId="54" xfId="0" applyFill="1" applyBorder="1"/>
    <xf numFmtId="0" fontId="0" fillId="9" borderId="15" xfId="0" applyFill="1" applyBorder="1" applyAlignment="1"/>
    <xf numFmtId="0" fontId="0" fillId="8" borderId="20" xfId="0" applyFill="1" applyBorder="1"/>
    <xf numFmtId="0" fontId="0" fillId="12" borderId="1" xfId="0" applyFill="1" applyBorder="1" applyAlignment="1"/>
    <xf numFmtId="0" fontId="0" fillId="11" borderId="23" xfId="0" applyFill="1" applyBorder="1"/>
    <xf numFmtId="0" fontId="0" fillId="11" borderId="9" xfId="0" applyFill="1" applyBorder="1" applyAlignment="1"/>
    <xf numFmtId="0" fontId="0" fillId="11" borderId="10" xfId="0" applyFill="1" applyBorder="1" applyAlignment="1"/>
    <xf numFmtId="0" fontId="0" fillId="12" borderId="23" xfId="0" applyFill="1" applyBorder="1"/>
    <xf numFmtId="0" fontId="0" fillId="12" borderId="60" xfId="0" applyFill="1" applyBorder="1"/>
    <xf numFmtId="0" fontId="0" fillId="8" borderId="13" xfId="0" applyFill="1" applyBorder="1"/>
    <xf numFmtId="165" fontId="0" fillId="12" borderId="1" xfId="0" applyNumberFormat="1" applyFill="1" applyBorder="1" applyAlignment="1"/>
    <xf numFmtId="165" fontId="0" fillId="12" borderId="15" xfId="0" applyNumberFormat="1" applyFill="1" applyBorder="1" applyAlignment="1"/>
    <xf numFmtId="165" fontId="0" fillId="11" borderId="15" xfId="0" applyNumberFormat="1" applyFill="1" applyBorder="1" applyAlignment="1"/>
    <xf numFmtId="165" fontId="0" fillId="11" borderId="1" xfId="0" applyNumberFormat="1" applyFill="1" applyBorder="1" applyAlignment="1"/>
    <xf numFmtId="0" fontId="0" fillId="15" borderId="33" xfId="0" applyFill="1" applyBorder="1" applyAlignment="1">
      <alignment horizontal="center"/>
    </xf>
    <xf numFmtId="0" fontId="0" fillId="2" borderId="33" xfId="0" applyFill="1" applyBorder="1"/>
    <xf numFmtId="0" fontId="0" fillId="2" borderId="33" xfId="0" applyFill="1" applyBorder="1" applyAlignment="1">
      <alignment horizontal="center"/>
    </xf>
    <xf numFmtId="0" fontId="0" fillId="16" borderId="32" xfId="0" applyFill="1" applyBorder="1" applyAlignment="1">
      <alignment horizontal="right"/>
    </xf>
    <xf numFmtId="0" fontId="0" fillId="16" borderId="32" xfId="0" applyFill="1" applyBorder="1"/>
    <xf numFmtId="0" fontId="0" fillId="16" borderId="33" xfId="0" applyFill="1" applyBorder="1"/>
    <xf numFmtId="0" fontId="0" fillId="16" borderId="30" xfId="0" applyFill="1" applyBorder="1"/>
    <xf numFmtId="165" fontId="0" fillId="16" borderId="32" xfId="0" applyNumberFormat="1" applyFill="1" applyBorder="1"/>
    <xf numFmtId="165" fontId="0" fillId="16" borderId="33" xfId="0" applyNumberFormat="1" applyFill="1" applyBorder="1"/>
    <xf numFmtId="0" fontId="0" fillId="16" borderId="31" xfId="0" applyFill="1" applyBorder="1"/>
    <xf numFmtId="0" fontId="0" fillId="16" borderId="33" xfId="0" applyFill="1" applyBorder="1" applyAlignment="1">
      <alignment horizontal="center"/>
    </xf>
    <xf numFmtId="0" fontId="0" fillId="5" borderId="35" xfId="0" applyFill="1" applyBorder="1"/>
    <xf numFmtId="0" fontId="0" fillId="5" borderId="34" xfId="0" applyFill="1" applyBorder="1"/>
    <xf numFmtId="0" fontId="0" fillId="5" borderId="52" xfId="0" applyFill="1" applyBorder="1"/>
    <xf numFmtId="0" fontId="0" fillId="5" borderId="62" xfId="0" applyFill="1" applyBorder="1"/>
    <xf numFmtId="0" fontId="0" fillId="5" borderId="63" xfId="0" applyFill="1" applyBorder="1"/>
    <xf numFmtId="0" fontId="0" fillId="5" borderId="61" xfId="0" applyFill="1" applyBorder="1"/>
    <xf numFmtId="0" fontId="0" fillId="5" borderId="64" xfId="0" applyFill="1" applyBorder="1"/>
    <xf numFmtId="0" fontId="0" fillId="5" borderId="37" xfId="0" applyFill="1" applyBorder="1"/>
    <xf numFmtId="0" fontId="0" fillId="5" borderId="53" xfId="0" applyFill="1" applyBorder="1"/>
    <xf numFmtId="0" fontId="0" fillId="5" borderId="55" xfId="0" applyFill="1" applyBorder="1"/>
    <xf numFmtId="0" fontId="0" fillId="5" borderId="56" xfId="0" applyFill="1" applyBorder="1"/>
    <xf numFmtId="0" fontId="0" fillId="5" borderId="57" xfId="0" applyFill="1" applyBorder="1"/>
    <xf numFmtId="0" fontId="0" fillId="5" borderId="65" xfId="0" applyFill="1" applyBorder="1"/>
    <xf numFmtId="0" fontId="0" fillId="4" borderId="67" xfId="0" applyFill="1" applyBorder="1" applyAlignment="1">
      <alignment horizontal="center"/>
    </xf>
    <xf numFmtId="165" fontId="0" fillId="15" borderId="39" xfId="0" applyNumberFormat="1" applyFill="1" applyBorder="1" applyAlignment="1"/>
    <xf numFmtId="165" fontId="0" fillId="12" borderId="17" xfId="0" applyNumberFormat="1" applyFill="1" applyBorder="1" applyAlignment="1"/>
    <xf numFmtId="165" fontId="0" fillId="12" borderId="23" xfId="0" applyNumberFormat="1" applyFill="1" applyBorder="1" applyAlignment="1"/>
    <xf numFmtId="165" fontId="0" fillId="12" borderId="50" xfId="0" applyNumberFormat="1" applyFill="1" applyBorder="1" applyAlignment="1"/>
    <xf numFmtId="165" fontId="0" fillId="15" borderId="56" xfId="0" applyNumberFormat="1" applyFill="1" applyBorder="1" applyAlignment="1"/>
    <xf numFmtId="165" fontId="0" fillId="10" borderId="10" xfId="0" applyNumberFormat="1" applyFill="1" applyBorder="1" applyAlignment="1"/>
    <xf numFmtId="165" fontId="0" fillId="11" borderId="47" xfId="0" applyNumberFormat="1" applyFill="1" applyBorder="1" applyAlignment="1"/>
    <xf numFmtId="165" fontId="0" fillId="11" borderId="48" xfId="0" applyNumberFormat="1" applyFill="1" applyBorder="1" applyAlignment="1"/>
    <xf numFmtId="165" fontId="0" fillId="11" borderId="66" xfId="0" applyNumberFormat="1" applyFill="1" applyBorder="1" applyAlignment="1"/>
    <xf numFmtId="165" fontId="0" fillId="10" borderId="9" xfId="0" applyNumberFormat="1" applyFill="1" applyBorder="1" applyAlignment="1"/>
    <xf numFmtId="0" fontId="0" fillId="4" borderId="29" xfId="0" applyFill="1" applyBorder="1" applyAlignment="1">
      <alignment horizontal="center"/>
    </xf>
    <xf numFmtId="165" fontId="0" fillId="10" borderId="67" xfId="0" applyNumberFormat="1" applyFill="1" applyBorder="1" applyAlignment="1"/>
    <xf numFmtId="0" fontId="0" fillId="10" borderId="16" xfId="0" applyFill="1" applyBorder="1" applyAlignment="1">
      <alignment horizontal="center"/>
    </xf>
    <xf numFmtId="0" fontId="0" fillId="10" borderId="61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165" fontId="0" fillId="9" borderId="60" xfId="0" applyNumberFormat="1" applyFill="1" applyBorder="1"/>
    <xf numFmtId="165" fontId="0" fillId="9" borderId="8" xfId="0" applyNumberFormat="1" applyFill="1" applyBorder="1"/>
    <xf numFmtId="165" fontId="0" fillId="12" borderId="70" xfId="0" applyNumberFormat="1" applyFill="1" applyBorder="1"/>
    <xf numFmtId="165" fontId="0" fillId="11" borderId="70" xfId="0" applyNumberFormat="1" applyFill="1" applyBorder="1"/>
    <xf numFmtId="0" fontId="0" fillId="14" borderId="60" xfId="0" applyFill="1" applyBorder="1"/>
    <xf numFmtId="165" fontId="0" fillId="14" borderId="15" xfId="0" applyNumberFormat="1" applyFill="1" applyBorder="1"/>
    <xf numFmtId="0" fontId="0" fillId="14" borderId="26" xfId="0" applyFill="1" applyBorder="1"/>
    <xf numFmtId="0" fontId="0" fillId="2" borderId="41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8" xfId="0" applyFill="1" applyBorder="1"/>
    <xf numFmtId="0" fontId="0" fillId="2" borderId="38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8" borderId="3" xfId="0" applyFill="1" applyBorder="1" applyAlignment="1">
      <alignment horizontal="left"/>
    </xf>
    <xf numFmtId="0" fontId="0" fillId="8" borderId="59" xfId="0" applyFill="1" applyBorder="1" applyAlignment="1">
      <alignment horizontal="left"/>
    </xf>
    <xf numFmtId="0" fontId="0" fillId="4" borderId="23" xfId="0" applyFill="1" applyBorder="1" applyAlignment="1">
      <alignment horizontal="left"/>
    </xf>
    <xf numFmtId="0" fontId="0" fillId="7" borderId="40" xfId="0" applyFill="1" applyBorder="1"/>
    <xf numFmtId="0" fontId="0" fillId="4" borderId="53" xfId="0" applyFill="1" applyBorder="1"/>
    <xf numFmtId="0" fontId="0" fillId="4" borderId="55" xfId="0" applyFill="1" applyBorder="1"/>
    <xf numFmtId="0" fontId="0" fillId="4" borderId="49" xfId="0" applyFill="1" applyBorder="1"/>
    <xf numFmtId="0" fontId="0" fillId="4" borderId="48" xfId="0" applyFill="1" applyBorder="1"/>
    <xf numFmtId="0" fontId="0" fillId="4" borderId="66" xfId="0" applyFill="1" applyBorder="1"/>
    <xf numFmtId="0" fontId="0" fillId="4" borderId="38" xfId="0" applyFill="1" applyBorder="1"/>
    <xf numFmtId="0" fontId="0" fillId="4" borderId="47" xfId="0" applyFill="1" applyBorder="1"/>
    <xf numFmtId="0" fontId="0" fillId="4" borderId="69" xfId="0" applyFill="1" applyBorder="1"/>
    <xf numFmtId="0" fontId="0" fillId="4" borderId="70" xfId="0" applyFill="1" applyBorder="1"/>
    <xf numFmtId="0" fontId="0" fillId="4" borderId="24" xfId="0" applyFill="1" applyBorder="1"/>
    <xf numFmtId="0" fontId="0" fillId="0" borderId="0" xfId="0" applyFill="1" applyBorder="1" applyAlignment="1">
      <alignment vertical="top"/>
    </xf>
    <xf numFmtId="15" fontId="16" fillId="17" borderId="0" xfId="3" applyNumberFormat="1" applyFont="1" applyFill="1" applyAlignment="1" applyProtection="1">
      <alignment horizontal="left"/>
    </xf>
    <xf numFmtId="0" fontId="17" fillId="17" borderId="0" xfId="3" applyFont="1" applyFill="1" applyProtection="1"/>
    <xf numFmtId="0" fontId="18" fillId="17" borderId="0" xfId="3" applyFont="1" applyFill="1" applyProtection="1"/>
    <xf numFmtId="0" fontId="17" fillId="17" borderId="0" xfId="3" applyFont="1" applyFill="1" applyAlignment="1" applyProtection="1">
      <alignment horizontal="center"/>
    </xf>
    <xf numFmtId="0" fontId="19" fillId="17" borderId="0" xfId="3" applyFont="1" applyFill="1" applyProtection="1"/>
    <xf numFmtId="4" fontId="19" fillId="17" borderId="0" xfId="3" applyNumberFormat="1" applyFont="1" applyFill="1" applyProtection="1"/>
    <xf numFmtId="2" fontId="20" fillId="17" borderId="0" xfId="3" applyNumberFormat="1" applyFont="1" applyFill="1" applyAlignment="1" applyProtection="1">
      <alignment horizontal="right"/>
    </xf>
    <xf numFmtId="0" fontId="19" fillId="0" borderId="0" xfId="3" applyFont="1" applyProtection="1"/>
    <xf numFmtId="0" fontId="21" fillId="17" borderId="0" xfId="3" applyFont="1" applyFill="1" applyAlignment="1" applyProtection="1">
      <alignment horizontal="left"/>
    </xf>
    <xf numFmtId="0" fontId="17" fillId="17" borderId="0" xfId="3" applyFont="1" applyFill="1" applyAlignment="1" applyProtection="1">
      <alignment horizontal="centerContinuous"/>
    </xf>
    <xf numFmtId="0" fontId="18" fillId="17" borderId="0" xfId="3" applyFont="1" applyFill="1" applyAlignment="1" applyProtection="1">
      <alignment horizontal="centerContinuous"/>
    </xf>
    <xf numFmtId="0" fontId="19" fillId="17" borderId="0" xfId="3" applyFont="1" applyFill="1" applyAlignment="1" applyProtection="1">
      <alignment horizontal="centerContinuous"/>
    </xf>
    <xf numFmtId="4" fontId="19" fillId="17" borderId="0" xfId="3" applyNumberFormat="1" applyFont="1" applyFill="1" applyAlignment="1" applyProtection="1">
      <alignment horizontal="centerContinuous"/>
    </xf>
    <xf numFmtId="2" fontId="20" fillId="17" borderId="0" xfId="3" applyNumberFormat="1" applyFont="1" applyFill="1" applyAlignment="1" applyProtection="1">
      <alignment horizontal="centerContinuous"/>
    </xf>
    <xf numFmtId="0" fontId="15" fillId="0" borderId="0" xfId="3"/>
    <xf numFmtId="0" fontId="22" fillId="0" borderId="0" xfId="3" applyFont="1"/>
    <xf numFmtId="0" fontId="22" fillId="0" borderId="0" xfId="3" applyFont="1" applyBorder="1"/>
    <xf numFmtId="0" fontId="23" fillId="0" borderId="0" xfId="3" applyFont="1" applyProtection="1">
      <protection locked="0"/>
    </xf>
    <xf numFmtId="0" fontId="23" fillId="0" borderId="0" xfId="3" quotePrefix="1" applyFont="1" applyProtection="1">
      <protection locked="0"/>
    </xf>
    <xf numFmtId="0" fontId="23" fillId="0" borderId="8" xfId="3" quotePrefix="1" applyFont="1" applyBorder="1" applyProtection="1">
      <protection locked="0"/>
    </xf>
    <xf numFmtId="0" fontId="24" fillId="0" borderId="52" xfId="3" applyFont="1" applyFill="1" applyBorder="1"/>
    <xf numFmtId="0" fontId="19" fillId="0" borderId="42" xfId="3" applyFont="1" applyFill="1" applyBorder="1"/>
    <xf numFmtId="0" fontId="25" fillId="0" borderId="42" xfId="3" applyFont="1" applyFill="1" applyBorder="1"/>
    <xf numFmtId="2" fontId="25" fillId="0" borderId="42" xfId="3" applyNumberFormat="1" applyFont="1" applyFill="1" applyBorder="1"/>
    <xf numFmtId="4" fontId="25" fillId="0" borderId="42" xfId="3" applyNumberFormat="1" applyFont="1" applyFill="1" applyBorder="1"/>
    <xf numFmtId="10" fontId="25" fillId="0" borderId="42" xfId="3" applyNumberFormat="1" applyFont="1" applyFill="1" applyBorder="1" applyAlignment="1">
      <alignment horizontal="center"/>
    </xf>
    <xf numFmtId="4" fontId="19" fillId="0" borderId="42" xfId="3" applyNumberFormat="1" applyFont="1" applyBorder="1" applyProtection="1"/>
    <xf numFmtId="2" fontId="20" fillId="0" borderId="42" xfId="3" applyNumberFormat="1" applyFont="1" applyBorder="1" applyAlignment="1" applyProtection="1">
      <alignment horizontal="right"/>
    </xf>
    <xf numFmtId="0" fontId="19" fillId="0" borderId="53" xfId="3" applyFont="1" applyBorder="1" applyProtection="1"/>
    <xf numFmtId="0" fontId="25" fillId="0" borderId="54" xfId="3" applyFont="1" applyFill="1" applyBorder="1"/>
    <xf numFmtId="0" fontId="19" fillId="0" borderId="0" xfId="3" applyFont="1" applyFill="1" applyBorder="1"/>
    <xf numFmtId="0" fontId="25" fillId="0" borderId="0" xfId="3" applyFont="1" applyFill="1" applyBorder="1"/>
    <xf numFmtId="0" fontId="15" fillId="0" borderId="0" xfId="3" applyBorder="1"/>
    <xf numFmtId="0" fontId="15" fillId="0" borderId="0" xfId="3" applyFill="1" applyBorder="1"/>
    <xf numFmtId="4" fontId="25" fillId="0" borderId="0" xfId="3" applyNumberFormat="1" applyFont="1" applyFill="1" applyBorder="1" applyProtection="1">
      <protection locked="0"/>
    </xf>
    <xf numFmtId="10" fontId="25" fillId="0" borderId="55" xfId="3" applyNumberFormat="1" applyFont="1" applyFill="1" applyBorder="1" applyAlignment="1">
      <alignment horizontal="center"/>
    </xf>
    <xf numFmtId="0" fontId="26" fillId="0" borderId="0" xfId="3" applyFont="1" applyProtection="1"/>
    <xf numFmtId="4" fontId="24" fillId="0" borderId="0" xfId="3" applyNumberFormat="1" applyFont="1" applyFill="1" applyBorder="1"/>
    <xf numFmtId="2" fontId="27" fillId="0" borderId="0" xfId="3" quotePrefix="1" applyNumberFormat="1" applyFont="1" applyFill="1" applyBorder="1" applyAlignment="1" applyProtection="1">
      <alignment horizontal="left"/>
      <protection locked="0"/>
    </xf>
    <xf numFmtId="0" fontId="27" fillId="0" borderId="0" xfId="3" applyFont="1" applyBorder="1" applyProtection="1">
      <protection locked="0"/>
    </xf>
    <xf numFmtId="0" fontId="27" fillId="0" borderId="54" xfId="3" applyFont="1" applyFill="1" applyBorder="1" applyProtection="1">
      <protection locked="0"/>
    </xf>
    <xf numFmtId="0" fontId="23" fillId="0" borderId="54" xfId="3" applyFont="1" applyFill="1" applyBorder="1" applyProtection="1">
      <protection locked="0"/>
    </xf>
    <xf numFmtId="0" fontId="28" fillId="0" borderId="0" xfId="3" applyFont="1" applyFill="1" applyBorder="1"/>
    <xf numFmtId="0" fontId="23" fillId="0" borderId="0" xfId="3" applyFont="1" applyBorder="1" applyProtection="1">
      <protection locked="0"/>
    </xf>
    <xf numFmtId="0" fontId="24" fillId="0" borderId="54" xfId="3" applyFont="1" applyFill="1" applyBorder="1" applyProtection="1">
      <protection locked="0"/>
    </xf>
    <xf numFmtId="2" fontId="25" fillId="0" borderId="0" xfId="3" applyNumberFormat="1" applyFont="1" applyFill="1" applyBorder="1" applyProtection="1">
      <protection locked="0"/>
    </xf>
    <xf numFmtId="0" fontId="25" fillId="0" borderId="54" xfId="3" applyFont="1" applyFill="1" applyBorder="1" applyProtection="1">
      <protection locked="0"/>
    </xf>
    <xf numFmtId="2" fontId="25" fillId="0" borderId="0" xfId="3" applyNumberFormat="1" applyFont="1" applyFill="1" applyBorder="1"/>
    <xf numFmtId="14" fontId="23" fillId="0" borderId="0" xfId="3" applyNumberFormat="1" applyFont="1" applyAlignment="1" applyProtection="1">
      <alignment horizontal="left"/>
      <protection locked="0"/>
    </xf>
    <xf numFmtId="0" fontId="15" fillId="0" borderId="56" xfId="3" applyBorder="1"/>
    <xf numFmtId="0" fontId="15" fillId="0" borderId="34" xfId="3" applyBorder="1"/>
    <xf numFmtId="0" fontId="15" fillId="0" borderId="57" xfId="3" applyBorder="1"/>
    <xf numFmtId="0" fontId="17" fillId="0" borderId="2" xfId="3" applyFont="1" applyBorder="1" applyAlignment="1" applyProtection="1">
      <alignment horizontal="center"/>
    </xf>
    <xf numFmtId="0" fontId="17" fillId="0" borderId="3" xfId="3" applyFont="1" applyBorder="1" applyProtection="1"/>
    <xf numFmtId="0" fontId="18" fillId="0" borderId="3" xfId="3" applyFont="1" applyBorder="1" applyAlignment="1" applyProtection="1">
      <alignment horizontal="center"/>
    </xf>
    <xf numFmtId="0" fontId="18" fillId="0" borderId="4" xfId="3" applyFont="1" applyBorder="1" applyProtection="1"/>
    <xf numFmtId="0" fontId="17" fillId="0" borderId="13" xfId="3" applyFont="1" applyBorder="1" applyAlignment="1" applyProtection="1">
      <alignment horizontal="center"/>
    </xf>
    <xf numFmtId="4" fontId="17" fillId="0" borderId="13" xfId="3" applyNumberFormat="1" applyFont="1" applyBorder="1" applyAlignment="1" applyProtection="1">
      <alignment horizontal="center"/>
    </xf>
    <xf numFmtId="2" fontId="29" fillId="0" borderId="13" xfId="3" applyNumberFormat="1" applyFont="1" applyBorder="1" applyAlignment="1" applyProtection="1">
      <alignment horizontal="right"/>
    </xf>
    <xf numFmtId="167" fontId="17" fillId="0" borderId="13" xfId="3" applyNumberFormat="1" applyFont="1" applyBorder="1" applyAlignment="1" applyProtection="1">
      <alignment horizontal="left"/>
    </xf>
    <xf numFmtId="0" fontId="17" fillId="0" borderId="7" xfId="3" applyFont="1" applyBorder="1" applyAlignment="1" applyProtection="1">
      <alignment horizontal="center"/>
    </xf>
    <xf numFmtId="0" fontId="17" fillId="0" borderId="8" xfId="3" applyFont="1" applyBorder="1" applyProtection="1"/>
    <xf numFmtId="0" fontId="18" fillId="0" borderId="8" xfId="3" applyFont="1" applyBorder="1" applyProtection="1"/>
    <xf numFmtId="0" fontId="18" fillId="0" borderId="9" xfId="3" applyFont="1" applyBorder="1" applyProtection="1"/>
    <xf numFmtId="0" fontId="17" fillId="0" borderId="15" xfId="3" applyFont="1" applyBorder="1" applyAlignment="1" applyProtection="1">
      <alignment horizontal="center"/>
    </xf>
    <xf numFmtId="0" fontId="19" fillId="0" borderId="15" xfId="3" applyFont="1" applyBorder="1" applyProtection="1"/>
    <xf numFmtId="4" fontId="19" fillId="0" borderId="15" xfId="3" applyNumberFormat="1" applyFont="1" applyBorder="1" applyProtection="1"/>
    <xf numFmtId="2" fontId="20" fillId="0" borderId="15" xfId="3" applyNumberFormat="1" applyFont="1" applyBorder="1" applyAlignment="1" applyProtection="1">
      <alignment horizontal="right"/>
    </xf>
    <xf numFmtId="167" fontId="19" fillId="0" borderId="15" xfId="3" applyNumberFormat="1" applyFont="1" applyBorder="1" applyProtection="1"/>
    <xf numFmtId="0" fontId="30" fillId="0" borderId="13" xfId="3" applyFont="1" applyBorder="1" applyAlignment="1" applyProtection="1">
      <alignment horizontal="center"/>
    </xf>
    <xf numFmtId="0" fontId="17" fillId="0" borderId="2" xfId="3" applyFont="1" applyBorder="1" applyAlignment="1" applyProtection="1">
      <alignment horizontal="left"/>
    </xf>
    <xf numFmtId="0" fontId="17" fillId="0" borderId="3" xfId="3" applyFont="1" applyBorder="1" applyAlignment="1" applyProtection="1">
      <alignment horizontal="left"/>
      <protection locked="0"/>
    </xf>
    <xf numFmtId="0" fontId="18" fillId="0" borderId="3" xfId="3" applyFont="1" applyBorder="1" applyProtection="1"/>
    <xf numFmtId="0" fontId="17" fillId="0" borderId="13" xfId="3" applyFont="1" applyBorder="1" applyAlignment="1" applyProtection="1">
      <alignment horizontal="center"/>
      <protection locked="0"/>
    </xf>
    <xf numFmtId="167" fontId="19" fillId="18" borderId="0" xfId="3" applyNumberFormat="1" applyFont="1" applyFill="1" applyBorder="1" applyProtection="1"/>
    <xf numFmtId="4" fontId="19" fillId="18" borderId="0" xfId="3" applyNumberFormat="1" applyFont="1" applyFill="1" applyBorder="1" applyProtection="1"/>
    <xf numFmtId="4" fontId="19" fillId="0" borderId="13" xfId="3" applyNumberFormat="1" applyFont="1" applyBorder="1" applyProtection="1"/>
    <xf numFmtId="2" fontId="20" fillId="0" borderId="13" xfId="3" applyNumberFormat="1" applyFont="1" applyBorder="1" applyAlignment="1" applyProtection="1">
      <alignment horizontal="right"/>
    </xf>
    <xf numFmtId="167" fontId="19" fillId="19" borderId="6" xfId="3" applyNumberFormat="1" applyFont="1" applyFill="1" applyBorder="1" applyProtection="1"/>
    <xf numFmtId="0" fontId="17" fillId="0" borderId="14" xfId="3" applyFont="1" applyBorder="1" applyAlignment="1" applyProtection="1">
      <alignment horizontal="center"/>
    </xf>
    <xf numFmtId="0" fontId="17" fillId="0" borderId="7" xfId="3" applyFont="1" applyBorder="1" applyAlignment="1" applyProtection="1">
      <alignment horizontal="left"/>
    </xf>
    <xf numFmtId="0" fontId="16" fillId="0" borderId="8" xfId="3" applyFont="1" applyBorder="1" applyAlignment="1" applyProtection="1">
      <alignment horizontal="left"/>
      <protection locked="0"/>
    </xf>
    <xf numFmtId="0" fontId="17" fillId="0" borderId="15" xfId="3" applyFont="1" applyBorder="1" applyAlignment="1" applyProtection="1">
      <alignment horizontal="center"/>
      <protection locked="0"/>
    </xf>
    <xf numFmtId="4" fontId="19" fillId="0" borderId="15" xfId="3" applyNumberFormat="1" applyFont="1" applyBorder="1" applyProtection="1">
      <protection locked="0"/>
    </xf>
    <xf numFmtId="4" fontId="19" fillId="0" borderId="13" xfId="3" applyNumberFormat="1" applyFont="1" applyBorder="1" applyProtection="1">
      <protection locked="0"/>
    </xf>
    <xf numFmtId="0" fontId="17" fillId="0" borderId="8" xfId="3" applyFont="1" applyBorder="1" applyAlignment="1" applyProtection="1">
      <alignment horizontal="left"/>
      <protection locked="0"/>
    </xf>
    <xf numFmtId="4" fontId="19" fillId="0" borderId="15" xfId="3" applyNumberFormat="1" applyFont="1" applyFill="1" applyBorder="1" applyProtection="1">
      <protection locked="0"/>
    </xf>
    <xf numFmtId="4" fontId="19" fillId="0" borderId="0" xfId="3" applyNumberFormat="1" applyFont="1" applyProtection="1"/>
    <xf numFmtId="0" fontId="17" fillId="0" borderId="14" xfId="3" applyFont="1" applyBorder="1" applyAlignment="1" applyProtection="1">
      <alignment horizontal="center"/>
      <protection locked="0"/>
    </xf>
    <xf numFmtId="0" fontId="17" fillId="0" borderId="5" xfId="3" applyFont="1" applyBorder="1" applyAlignment="1" applyProtection="1">
      <alignment horizontal="left"/>
    </xf>
    <xf numFmtId="0" fontId="17" fillId="0" borderId="0" xfId="3" applyFont="1" applyBorder="1" applyAlignment="1" applyProtection="1">
      <alignment horizontal="left"/>
      <protection locked="0"/>
    </xf>
    <xf numFmtId="0" fontId="18" fillId="0" borderId="0" xfId="3" applyFont="1" applyBorder="1" applyProtection="1"/>
    <xf numFmtId="0" fontId="18" fillId="0" borderId="6" xfId="3" applyFont="1" applyBorder="1" applyProtection="1"/>
    <xf numFmtId="0" fontId="17" fillId="0" borderId="5" xfId="3" applyFont="1" applyBorder="1" applyAlignment="1" applyProtection="1">
      <alignment horizontal="center"/>
    </xf>
    <xf numFmtId="0" fontId="17" fillId="0" borderId="1" xfId="3" applyFont="1" applyBorder="1" applyAlignment="1" applyProtection="1">
      <alignment horizontal="center"/>
      <protection locked="0"/>
    </xf>
    <xf numFmtId="0" fontId="17" fillId="0" borderId="2" xfId="3" applyFont="1" applyBorder="1" applyAlignment="1" applyProtection="1">
      <alignment horizontal="left"/>
      <protection locked="0"/>
    </xf>
    <xf numFmtId="167" fontId="19" fillId="18" borderId="8" xfId="3" applyNumberFormat="1" applyFont="1" applyFill="1" applyBorder="1" applyProtection="1"/>
    <xf numFmtId="4" fontId="19" fillId="18" borderId="8" xfId="3" applyNumberFormat="1" applyFont="1" applyFill="1" applyBorder="1" applyProtection="1"/>
    <xf numFmtId="0" fontId="17" fillId="19" borderId="0" xfId="3" applyFont="1" applyFill="1" applyAlignment="1" applyProtection="1">
      <alignment horizontal="center"/>
    </xf>
    <xf numFmtId="167" fontId="19" fillId="19" borderId="0" xfId="3" applyNumberFormat="1" applyFont="1" applyFill="1" applyProtection="1"/>
    <xf numFmtId="4" fontId="19" fillId="19" borderId="0" xfId="3" applyNumberFormat="1" applyFont="1" applyFill="1" applyProtection="1"/>
    <xf numFmtId="167" fontId="19" fillId="0" borderId="13" xfId="3" applyNumberFormat="1" applyFont="1" applyBorder="1" applyProtection="1"/>
    <xf numFmtId="4" fontId="31" fillId="0" borderId="15" xfId="3" applyNumberFormat="1" applyFont="1" applyBorder="1" applyProtection="1"/>
    <xf numFmtId="2" fontId="18" fillId="0" borderId="15" xfId="3" applyNumberFormat="1" applyFont="1" applyBorder="1" applyAlignment="1" applyProtection="1">
      <alignment horizontal="center"/>
    </xf>
    <xf numFmtId="0" fontId="30" fillId="0" borderId="14" xfId="3" applyFont="1" applyBorder="1" applyAlignment="1" applyProtection="1">
      <alignment horizontal="center"/>
    </xf>
    <xf numFmtId="0" fontId="17" fillId="0" borderId="3" xfId="3" applyFont="1" applyBorder="1" applyAlignment="1" applyProtection="1">
      <alignment horizontal="left"/>
    </xf>
    <xf numFmtId="0" fontId="18" fillId="0" borderId="11" xfId="3" applyFont="1" applyBorder="1" applyProtection="1">
      <protection locked="0"/>
    </xf>
    <xf numFmtId="0" fontId="18" fillId="0" borderId="10" xfId="3" applyFont="1" applyBorder="1" applyProtection="1"/>
    <xf numFmtId="167" fontId="19" fillId="20" borderId="1" xfId="3" applyNumberFormat="1" applyFont="1" applyFill="1" applyBorder="1" applyProtection="1">
      <protection locked="0"/>
    </xf>
    <xf numFmtId="4" fontId="19" fillId="20" borderId="1" xfId="3" applyNumberFormat="1" applyFont="1" applyFill="1" applyBorder="1" applyProtection="1">
      <protection locked="0"/>
    </xf>
    <xf numFmtId="4" fontId="19" fillId="0" borderId="1" xfId="3" applyNumberFormat="1" applyFont="1" applyBorder="1" applyProtection="1"/>
    <xf numFmtId="2" fontId="20" fillId="0" borderId="1" xfId="3" applyNumberFormat="1" applyFont="1" applyBorder="1" applyAlignment="1" applyProtection="1">
      <alignment horizontal="right"/>
    </xf>
    <xf numFmtId="0" fontId="17" fillId="0" borderId="0" xfId="3" applyFont="1" applyBorder="1" applyAlignment="1" applyProtection="1">
      <alignment horizontal="left"/>
    </xf>
    <xf numFmtId="0" fontId="32" fillId="0" borderId="5" xfId="3" applyFont="1" applyBorder="1" applyAlignment="1">
      <alignment horizontal="center"/>
    </xf>
    <xf numFmtId="0" fontId="17" fillId="0" borderId="0" xfId="3" applyFont="1" applyBorder="1" applyAlignment="1" applyProtection="1">
      <alignment horizontal="center"/>
    </xf>
    <xf numFmtId="0" fontId="17" fillId="0" borderId="8" xfId="3" applyFont="1" applyBorder="1" applyAlignment="1" applyProtection="1">
      <alignment horizontal="left"/>
    </xf>
    <xf numFmtId="167" fontId="19" fillId="0" borderId="1" xfId="3" applyNumberFormat="1" applyFont="1" applyBorder="1" applyProtection="1">
      <protection locked="0"/>
    </xf>
    <xf numFmtId="4" fontId="19" fillId="0" borderId="1" xfId="3" applyNumberFormat="1" applyFont="1" applyBorder="1" applyProtection="1">
      <protection locked="0"/>
    </xf>
    <xf numFmtId="0" fontId="17" fillId="0" borderId="5" xfId="3" applyFont="1" applyBorder="1" applyProtection="1"/>
    <xf numFmtId="0" fontId="17" fillId="0" borderId="0" xfId="3" applyFont="1" applyProtection="1"/>
    <xf numFmtId="4" fontId="19" fillId="21" borderId="1" xfId="3" applyNumberFormat="1" applyFont="1" applyFill="1" applyBorder="1" applyProtection="1"/>
    <xf numFmtId="0" fontId="17" fillId="0" borderId="11" xfId="3" applyFont="1" applyBorder="1" applyAlignment="1" applyProtection="1">
      <alignment horizontal="left"/>
    </xf>
    <xf numFmtId="0" fontId="17" fillId="0" borderId="12" xfId="3" applyFont="1" applyBorder="1" applyAlignment="1" applyProtection="1">
      <alignment horizontal="left"/>
    </xf>
    <xf numFmtId="0" fontId="18" fillId="0" borderId="12" xfId="3" applyFont="1" applyBorder="1" applyProtection="1"/>
    <xf numFmtId="0" fontId="17" fillId="0" borderId="11" xfId="3" applyFont="1" applyBorder="1" applyAlignment="1" applyProtection="1">
      <alignment horizontal="left"/>
      <protection locked="0"/>
    </xf>
    <xf numFmtId="0" fontId="17" fillId="0" borderId="12" xfId="3" applyFont="1" applyBorder="1" applyProtection="1"/>
    <xf numFmtId="0" fontId="17" fillId="0" borderId="7" xfId="3" applyFont="1" applyBorder="1" applyProtection="1"/>
    <xf numFmtId="0" fontId="17" fillId="0" borderId="2" xfId="3" applyFont="1" applyBorder="1" applyProtection="1"/>
    <xf numFmtId="0" fontId="17" fillId="0" borderId="4" xfId="3" applyFont="1" applyBorder="1" applyProtection="1"/>
    <xf numFmtId="0" fontId="18" fillId="0" borderId="11" xfId="3" applyFont="1" applyBorder="1" applyAlignment="1" applyProtection="1">
      <alignment horizontal="left"/>
      <protection locked="0"/>
    </xf>
    <xf numFmtId="0" fontId="17" fillId="0" borderId="6" xfId="3" applyFont="1" applyBorder="1" applyProtection="1"/>
    <xf numFmtId="0" fontId="17" fillId="0" borderId="0" xfId="3" applyFont="1" applyBorder="1" applyProtection="1"/>
    <xf numFmtId="0" fontId="18" fillId="0" borderId="2" xfId="3" applyFont="1" applyBorder="1" applyAlignment="1" applyProtection="1">
      <alignment horizontal="left"/>
    </xf>
    <xf numFmtId="0" fontId="17" fillId="0" borderId="9" xfId="3" applyFont="1" applyBorder="1" applyProtection="1"/>
    <xf numFmtId="0" fontId="18" fillId="0" borderId="7" xfId="3" applyFont="1" applyBorder="1" applyProtection="1"/>
    <xf numFmtId="0" fontId="18" fillId="0" borderId="13" xfId="3" applyFont="1" applyBorder="1" applyProtection="1"/>
    <xf numFmtId="0" fontId="18" fillId="0" borderId="1" xfId="3" applyFont="1" applyBorder="1" applyAlignment="1" applyProtection="1">
      <alignment horizontal="left"/>
      <protection locked="0"/>
    </xf>
    <xf numFmtId="0" fontId="18" fillId="0" borderId="14" xfId="3" applyFont="1" applyBorder="1" applyProtection="1"/>
    <xf numFmtId="0" fontId="18" fillId="0" borderId="14" xfId="3" applyFont="1" applyBorder="1" applyAlignment="1" applyProtection="1">
      <alignment horizontal="left"/>
      <protection locked="0"/>
    </xf>
    <xf numFmtId="0" fontId="18" fillId="0" borderId="15" xfId="3" applyFont="1" applyBorder="1" applyProtection="1"/>
    <xf numFmtId="0" fontId="18" fillId="0" borderId="1" xfId="3" applyFont="1" applyBorder="1" applyProtection="1">
      <protection locked="0"/>
    </xf>
    <xf numFmtId="0" fontId="17" fillId="0" borderId="0" xfId="3" applyFont="1"/>
    <xf numFmtId="0" fontId="18" fillId="0" borderId="15" xfId="3" applyFont="1" applyBorder="1" applyAlignment="1" applyProtection="1">
      <alignment horizontal="left"/>
      <protection locked="0"/>
    </xf>
    <xf numFmtId="167" fontId="19" fillId="0" borderId="15" xfId="3" applyNumberFormat="1" applyFont="1" applyBorder="1" applyProtection="1">
      <protection locked="0"/>
    </xf>
    <xf numFmtId="167" fontId="19" fillId="21" borderId="1" xfId="3" applyNumberFormat="1" applyFont="1" applyFill="1" applyBorder="1" applyProtection="1">
      <protection locked="0"/>
    </xf>
    <xf numFmtId="4" fontId="19" fillId="21" borderId="1" xfId="3" applyNumberFormat="1" applyFont="1" applyFill="1" applyBorder="1" applyProtection="1">
      <protection locked="0"/>
    </xf>
    <xf numFmtId="0" fontId="17" fillId="19" borderId="8" xfId="3" applyFont="1" applyFill="1" applyBorder="1" applyAlignment="1" applyProtection="1">
      <alignment horizontal="center"/>
    </xf>
    <xf numFmtId="167" fontId="19" fillId="19" borderId="8" xfId="3" applyNumberFormat="1" applyFont="1" applyFill="1" applyBorder="1" applyProtection="1"/>
    <xf numFmtId="4" fontId="19" fillId="19" borderId="8" xfId="3" applyNumberFormat="1" applyFont="1" applyFill="1" applyBorder="1" applyProtection="1"/>
    <xf numFmtId="4" fontId="33" fillId="0" borderId="15" xfId="3" applyNumberFormat="1" applyFont="1" applyBorder="1" applyProtection="1"/>
    <xf numFmtId="0" fontId="34" fillId="0" borderId="5" xfId="3" applyFont="1" applyBorder="1" applyAlignment="1">
      <alignment horizontal="center"/>
    </xf>
    <xf numFmtId="0" fontId="18" fillId="0" borderId="0" xfId="3" applyFont="1" applyProtection="1">
      <protection locked="0"/>
    </xf>
    <xf numFmtId="4" fontId="28" fillId="0" borderId="15" xfId="3" applyNumberFormat="1" applyFont="1" applyBorder="1" applyProtection="1"/>
    <xf numFmtId="167" fontId="19" fillId="19" borderId="0" xfId="3" applyNumberFormat="1" applyFont="1" applyFill="1" applyAlignment="1" applyProtection="1">
      <alignment horizontal="left"/>
    </xf>
    <xf numFmtId="2" fontId="20" fillId="19" borderId="0" xfId="3" applyNumberFormat="1" applyFont="1" applyFill="1" applyAlignment="1" applyProtection="1">
      <alignment horizontal="right"/>
    </xf>
    <xf numFmtId="0" fontId="17" fillId="19" borderId="0" xfId="3" applyFont="1" applyFill="1" applyBorder="1" applyAlignment="1" applyProtection="1">
      <alignment horizontal="center"/>
    </xf>
    <xf numFmtId="167" fontId="19" fillId="19" borderId="0" xfId="3" applyNumberFormat="1" applyFont="1" applyFill="1" applyBorder="1" applyProtection="1"/>
    <xf numFmtId="4" fontId="19" fillId="19" borderId="0" xfId="3" applyNumberFormat="1" applyFont="1" applyFill="1" applyBorder="1" applyProtection="1"/>
    <xf numFmtId="4" fontId="31" fillId="0" borderId="14" xfId="3" applyNumberFormat="1" applyFont="1" applyBorder="1" applyProtection="1"/>
    <xf numFmtId="2" fontId="29" fillId="19" borderId="0" xfId="3" applyNumberFormat="1" applyFont="1" applyFill="1" applyBorder="1" applyAlignment="1" applyProtection="1">
      <alignment horizontal="right"/>
    </xf>
    <xf numFmtId="0" fontId="32" fillId="0" borderId="0" xfId="3" applyFont="1"/>
    <xf numFmtId="167" fontId="19" fillId="19" borderId="9" xfId="3" applyNumberFormat="1" applyFont="1" applyFill="1" applyBorder="1" applyProtection="1"/>
    <xf numFmtId="0" fontId="17" fillId="22" borderId="0" xfId="3" applyFont="1" applyFill="1" applyBorder="1" applyAlignment="1" applyProtection="1">
      <alignment horizontal="center"/>
    </xf>
    <xf numFmtId="167" fontId="19" fillId="22" borderId="0" xfId="3" applyNumberFormat="1" applyFont="1" applyFill="1" applyBorder="1" applyProtection="1"/>
    <xf numFmtId="4" fontId="19" fillId="22" borderId="0" xfId="3" applyNumberFormat="1" applyFont="1" applyFill="1" applyBorder="1" applyProtection="1"/>
    <xf numFmtId="4" fontId="19" fillId="0" borderId="14" xfId="3" applyNumberFormat="1" applyFont="1" applyBorder="1" applyProtection="1"/>
    <xf numFmtId="2" fontId="20" fillId="0" borderId="0" xfId="3" applyNumberFormat="1" applyFont="1" applyBorder="1" applyAlignment="1" applyProtection="1">
      <alignment horizontal="right"/>
    </xf>
    <xf numFmtId="167" fontId="19" fillId="0" borderId="14" xfId="3" applyNumberFormat="1" applyFont="1" applyFill="1" applyBorder="1" applyProtection="1"/>
    <xf numFmtId="0" fontId="32" fillId="0" borderId="8" xfId="3" applyFont="1" applyBorder="1"/>
    <xf numFmtId="0" fontId="17" fillId="0" borderId="8" xfId="3" applyFont="1" applyBorder="1"/>
    <xf numFmtId="4" fontId="28" fillId="0" borderId="14" xfId="3" applyNumberFormat="1" applyFont="1" applyBorder="1" applyProtection="1"/>
    <xf numFmtId="0" fontId="19" fillId="21" borderId="0" xfId="3" applyFont="1" applyFill="1" applyProtection="1"/>
    <xf numFmtId="0" fontId="32" fillId="0" borderId="5" xfId="3" applyFont="1" applyBorder="1"/>
    <xf numFmtId="0" fontId="32" fillId="0" borderId="15" xfId="3" applyFont="1" applyBorder="1" applyAlignment="1">
      <alignment horizontal="center"/>
    </xf>
    <xf numFmtId="0" fontId="17" fillId="19" borderId="7" xfId="3" applyFont="1" applyFill="1" applyBorder="1" applyAlignment="1" applyProtection="1">
      <alignment horizontal="center"/>
    </xf>
    <xf numFmtId="4" fontId="19" fillId="19" borderId="9" xfId="3" applyNumberFormat="1" applyFont="1" applyFill="1" applyBorder="1" applyProtection="1"/>
    <xf numFmtId="0" fontId="30" fillId="0" borderId="14" xfId="3" applyFont="1" applyBorder="1" applyAlignment="1">
      <alignment horizontal="center"/>
    </xf>
    <xf numFmtId="167" fontId="19" fillId="22" borderId="13" xfId="3" applyNumberFormat="1" applyFont="1" applyFill="1" applyBorder="1" applyProtection="1"/>
    <xf numFmtId="0" fontId="32" fillId="0" borderId="14" xfId="3" applyFont="1" applyBorder="1" applyAlignment="1">
      <alignment horizontal="center"/>
    </xf>
    <xf numFmtId="0" fontId="17" fillId="0" borderId="0" xfId="3" applyFont="1" applyAlignment="1" applyProtection="1">
      <alignment horizontal="left"/>
    </xf>
    <xf numFmtId="0" fontId="18" fillId="0" borderId="7" xfId="3" applyFont="1" applyBorder="1" applyProtection="1">
      <protection locked="0"/>
    </xf>
    <xf numFmtId="167" fontId="19" fillId="22" borderId="14" xfId="3" applyNumberFormat="1" applyFont="1" applyFill="1" applyBorder="1" applyProtection="1"/>
    <xf numFmtId="167" fontId="19" fillId="22" borderId="15" xfId="3" applyNumberFormat="1" applyFont="1" applyFill="1" applyBorder="1" applyProtection="1"/>
    <xf numFmtId="2" fontId="29" fillId="19" borderId="8" xfId="3" applyNumberFormat="1" applyFont="1" applyFill="1" applyBorder="1" applyAlignment="1" applyProtection="1">
      <alignment horizontal="right"/>
    </xf>
    <xf numFmtId="2" fontId="20" fillId="0" borderId="1" xfId="3" applyNumberFormat="1" applyFont="1" applyFill="1" applyBorder="1" applyAlignment="1" applyProtection="1">
      <alignment horizontal="right"/>
    </xf>
    <xf numFmtId="0" fontId="17" fillId="0" borderId="6" xfId="3" applyFont="1" applyBorder="1" applyAlignment="1" applyProtection="1">
      <alignment horizontal="left"/>
    </xf>
    <xf numFmtId="0" fontId="17" fillId="20" borderId="1" xfId="3" applyFont="1" applyFill="1" applyBorder="1" applyAlignment="1" applyProtection="1">
      <alignment horizontal="center"/>
      <protection locked="0"/>
    </xf>
    <xf numFmtId="167" fontId="19" fillId="22" borderId="6" xfId="3" applyNumberFormat="1" applyFont="1" applyFill="1" applyBorder="1" applyProtection="1"/>
    <xf numFmtId="0" fontId="30" fillId="0" borderId="5" xfId="3" applyFont="1" applyBorder="1" applyAlignment="1" applyProtection="1">
      <alignment horizontal="center"/>
    </xf>
    <xf numFmtId="167" fontId="19" fillId="22" borderId="9" xfId="3" applyNumberFormat="1" applyFont="1" applyFill="1" applyBorder="1" applyProtection="1"/>
    <xf numFmtId="2" fontId="29" fillId="0" borderId="14" xfId="3" applyNumberFormat="1" applyFont="1" applyBorder="1" applyAlignment="1" applyProtection="1">
      <alignment horizontal="right"/>
    </xf>
    <xf numFmtId="167" fontId="19" fillId="0" borderId="6" xfId="3" applyNumberFormat="1" applyFont="1" applyBorder="1" applyProtection="1"/>
    <xf numFmtId="0" fontId="30" fillId="0" borderId="5" xfId="3" applyFont="1" applyBorder="1" applyAlignment="1">
      <alignment horizontal="center"/>
    </xf>
    <xf numFmtId="0" fontId="15" fillId="0" borderId="5" xfId="3" applyBorder="1"/>
    <xf numFmtId="0" fontId="15" fillId="0" borderId="15" xfId="3" applyBorder="1"/>
    <xf numFmtId="0" fontId="19" fillId="0" borderId="0" xfId="3" applyFont="1"/>
    <xf numFmtId="0" fontId="32" fillId="0" borderId="14" xfId="3" applyFont="1" applyBorder="1" applyAlignment="1" applyProtection="1">
      <alignment horizontal="center"/>
    </xf>
    <xf numFmtId="2" fontId="20" fillId="0" borderId="0" xfId="3" applyNumberFormat="1" applyFont="1" applyFill="1" applyAlignment="1" applyProtection="1">
      <alignment horizontal="right"/>
    </xf>
    <xf numFmtId="167" fontId="19" fillId="0" borderId="14" xfId="3" applyNumberFormat="1" applyFont="1" applyBorder="1" applyProtection="1"/>
    <xf numFmtId="4" fontId="19" fillId="0" borderId="5" xfId="3" applyNumberFormat="1" applyFont="1" applyBorder="1" applyProtection="1"/>
    <xf numFmtId="2" fontId="20" fillId="0" borderId="5" xfId="3" applyNumberFormat="1" applyFont="1" applyFill="1" applyBorder="1" applyAlignment="1" applyProtection="1">
      <alignment horizontal="right"/>
    </xf>
    <xf numFmtId="0" fontId="17" fillId="0" borderId="5" xfId="3" applyFont="1" applyBorder="1" applyAlignment="1">
      <alignment horizontal="center"/>
    </xf>
    <xf numFmtId="4" fontId="28" fillId="0" borderId="7" xfId="3" applyNumberFormat="1" applyFont="1" applyBorder="1" applyProtection="1"/>
    <xf numFmtId="4" fontId="19" fillId="19" borderId="6" xfId="3" applyNumberFormat="1" applyFont="1" applyFill="1" applyBorder="1" applyProtection="1"/>
    <xf numFmtId="4" fontId="19" fillId="0" borderId="6" xfId="3" applyNumberFormat="1" applyFont="1" applyBorder="1" applyProtection="1"/>
    <xf numFmtId="2" fontId="20" fillId="0" borderId="6" xfId="3" applyNumberFormat="1" applyFont="1" applyFill="1" applyBorder="1" applyAlignment="1" applyProtection="1">
      <alignment horizontal="right"/>
    </xf>
    <xf numFmtId="4" fontId="28" fillId="0" borderId="0" xfId="3" applyNumberFormat="1" applyFont="1" applyBorder="1" applyProtection="1"/>
    <xf numFmtId="0" fontId="35" fillId="0" borderId="5" xfId="3" applyFont="1" applyBorder="1"/>
    <xf numFmtId="0" fontId="18" fillId="0" borderId="5" xfId="3" applyFont="1" applyBorder="1" applyProtection="1"/>
    <xf numFmtId="4" fontId="28" fillId="0" borderId="8" xfId="3" applyNumberFormat="1" applyFont="1" applyBorder="1" applyProtection="1"/>
    <xf numFmtId="0" fontId="36" fillId="0" borderId="7" xfId="3" applyFont="1" applyBorder="1" applyProtection="1">
      <protection locked="0"/>
    </xf>
    <xf numFmtId="0" fontId="17" fillId="0" borderId="12" xfId="3" applyFont="1" applyBorder="1" applyProtection="1">
      <protection locked="0"/>
    </xf>
    <xf numFmtId="167" fontId="19" fillId="0" borderId="1" xfId="3" applyNumberFormat="1" applyFont="1" applyBorder="1" applyProtection="1"/>
    <xf numFmtId="0" fontId="32" fillId="0" borderId="7" xfId="3" applyFont="1" applyBorder="1" applyAlignment="1">
      <alignment horizontal="center"/>
    </xf>
    <xf numFmtId="0" fontId="18" fillId="0" borderId="8" xfId="3" applyFont="1" applyBorder="1" applyAlignment="1" applyProtection="1">
      <alignment horizontal="left"/>
      <protection locked="0"/>
    </xf>
    <xf numFmtId="167" fontId="19" fillId="23" borderId="0" xfId="3" applyNumberFormat="1" applyFont="1" applyFill="1" applyProtection="1"/>
    <xf numFmtId="4" fontId="19" fillId="23" borderId="0" xfId="3" applyNumberFormat="1" applyFont="1" applyFill="1" applyProtection="1"/>
    <xf numFmtId="0" fontId="18" fillId="0" borderId="7" xfId="3" applyFont="1" applyBorder="1" applyAlignment="1" applyProtection="1">
      <alignment horizontal="left"/>
      <protection locked="0"/>
    </xf>
    <xf numFmtId="0" fontId="18" fillId="0" borderId="0" xfId="3" applyFont="1" applyBorder="1" applyAlignment="1" applyProtection="1">
      <alignment horizontal="left"/>
      <protection locked="0"/>
    </xf>
    <xf numFmtId="167" fontId="19" fillId="23" borderId="8" xfId="3" applyNumberFormat="1" applyFont="1" applyFill="1" applyBorder="1" applyProtection="1"/>
    <xf numFmtId="4" fontId="19" fillId="23" borderId="8" xfId="3" applyNumberFormat="1" applyFont="1" applyFill="1" applyBorder="1" applyProtection="1"/>
    <xf numFmtId="0" fontId="18" fillId="0" borderId="0" xfId="3" applyFont="1" applyBorder="1" applyAlignment="1" applyProtection="1">
      <alignment horizontal="left"/>
    </xf>
    <xf numFmtId="0" fontId="18" fillId="0" borderId="0" xfId="3" applyFont="1" applyBorder="1" applyAlignment="1" applyProtection="1">
      <alignment horizontal="center"/>
    </xf>
    <xf numFmtId="0" fontId="18" fillId="0" borderId="8" xfId="3" applyFont="1" applyBorder="1" applyAlignment="1" applyProtection="1">
      <alignment horizontal="left"/>
    </xf>
    <xf numFmtId="0" fontId="18" fillId="0" borderId="14" xfId="3" applyFont="1" applyBorder="1" applyAlignment="1" applyProtection="1">
      <alignment horizontal="center"/>
    </xf>
    <xf numFmtId="0" fontId="15" fillId="0" borderId="14" xfId="3" applyBorder="1"/>
    <xf numFmtId="0" fontId="18" fillId="0" borderId="8" xfId="3" applyFont="1" applyBorder="1" applyAlignment="1" applyProtection="1">
      <alignment horizontal="center"/>
    </xf>
    <xf numFmtId="0" fontId="36" fillId="0" borderId="1" xfId="3" applyFont="1" applyBorder="1" applyProtection="1">
      <protection locked="0"/>
    </xf>
    <xf numFmtId="167" fontId="19" fillId="20" borderId="9" xfId="3" applyNumberFormat="1" applyFont="1" applyFill="1" applyBorder="1" applyProtection="1">
      <protection locked="0"/>
    </xf>
    <xf numFmtId="4" fontId="19" fillId="20" borderId="8" xfId="3" applyNumberFormat="1" applyFont="1" applyFill="1" applyBorder="1" applyProtection="1">
      <protection locked="0"/>
    </xf>
    <xf numFmtId="0" fontId="18" fillId="0" borderId="15" xfId="3" applyFont="1" applyBorder="1" applyProtection="1">
      <protection locked="0"/>
    </xf>
    <xf numFmtId="2" fontId="20" fillId="19" borderId="0" xfId="3" applyNumberFormat="1" applyFont="1" applyFill="1" applyBorder="1" applyAlignment="1" applyProtection="1">
      <alignment horizontal="right"/>
    </xf>
    <xf numFmtId="0" fontId="17" fillId="0" borderId="12" xfId="3" applyFont="1" applyBorder="1" applyAlignment="1" applyProtection="1">
      <alignment horizontal="left"/>
      <protection locked="0"/>
    </xf>
    <xf numFmtId="0" fontId="18" fillId="0" borderId="12" xfId="3" applyFont="1" applyBorder="1" applyAlignment="1" applyProtection="1">
      <alignment horizontal="left"/>
    </xf>
    <xf numFmtId="0" fontId="18" fillId="0" borderId="10" xfId="3" applyFont="1" applyBorder="1" applyAlignment="1" applyProtection="1">
      <alignment horizontal="left"/>
    </xf>
    <xf numFmtId="0" fontId="17" fillId="0" borderId="12" xfId="3" applyFont="1" applyBorder="1" applyAlignment="1" applyProtection="1">
      <alignment horizontal="center"/>
    </xf>
    <xf numFmtId="0" fontId="18" fillId="0" borderId="0" xfId="3" applyFont="1" applyProtection="1"/>
    <xf numFmtId="0" fontId="17" fillId="0" borderId="0" xfId="3" applyFont="1" applyAlignment="1" applyProtection="1">
      <alignment horizontal="center"/>
    </xf>
    <xf numFmtId="167" fontId="19" fillId="0" borderId="0" xfId="3" applyNumberFormat="1" applyFont="1" applyProtection="1"/>
    <xf numFmtId="2" fontId="20" fillId="0" borderId="0" xfId="3" applyNumberFormat="1" applyFont="1" applyAlignment="1" applyProtection="1">
      <alignment horizontal="right"/>
    </xf>
    <xf numFmtId="167" fontId="19" fillId="0" borderId="0" xfId="3" applyNumberFormat="1" applyFont="1" applyBorder="1" applyProtection="1"/>
    <xf numFmtId="0" fontId="17" fillId="0" borderId="3" xfId="3" applyFont="1" applyBorder="1" applyAlignment="1" applyProtection="1">
      <alignment horizontal="center"/>
    </xf>
    <xf numFmtId="167" fontId="19" fillId="0" borderId="3" xfId="3" applyNumberFormat="1" applyFont="1" applyBorder="1" applyProtection="1"/>
    <xf numFmtId="4" fontId="19" fillId="0" borderId="4" xfId="3" applyNumberFormat="1" applyFont="1" applyBorder="1" applyProtection="1"/>
    <xf numFmtId="2" fontId="20" fillId="19" borderId="4" xfId="3" applyNumberFormat="1" applyFont="1" applyFill="1" applyBorder="1" applyAlignment="1" applyProtection="1">
      <alignment horizontal="right"/>
    </xf>
    <xf numFmtId="0" fontId="30" fillId="0" borderId="8" xfId="3" applyFont="1" applyBorder="1" applyAlignment="1" applyProtection="1">
      <alignment horizontal="left"/>
    </xf>
    <xf numFmtId="0" fontId="35" fillId="0" borderId="8" xfId="3" applyFont="1" applyBorder="1"/>
    <xf numFmtId="0" fontId="17" fillId="0" borderId="8" xfId="3" applyFont="1" applyBorder="1" applyAlignment="1" applyProtection="1">
      <alignment horizontal="center"/>
    </xf>
    <xf numFmtId="167" fontId="19" fillId="0" borderId="8" xfId="3" applyNumberFormat="1" applyFont="1" applyBorder="1" applyProtection="1"/>
    <xf numFmtId="4" fontId="19" fillId="0" borderId="9" xfId="3" applyNumberFormat="1" applyFont="1" applyBorder="1" applyProtection="1"/>
    <xf numFmtId="2" fontId="20" fillId="19" borderId="9" xfId="3" applyNumberFormat="1" applyFont="1" applyFill="1" applyBorder="1" applyAlignment="1" applyProtection="1">
      <alignment horizontal="right"/>
    </xf>
    <xf numFmtId="167" fontId="17" fillId="0" borderId="15" xfId="3" applyNumberFormat="1" applyFont="1" applyBorder="1" applyAlignment="1" applyProtection="1">
      <alignment horizontal="center"/>
    </xf>
    <xf numFmtId="0" fontId="17" fillId="0" borderId="11" xfId="3" applyFont="1" applyBorder="1" applyAlignment="1" applyProtection="1">
      <alignment horizontal="center"/>
    </xf>
    <xf numFmtId="0" fontId="30" fillId="0" borderId="12" xfId="3" applyFont="1" applyBorder="1" applyProtection="1"/>
    <xf numFmtId="0" fontId="19" fillId="0" borderId="12" xfId="3" applyFont="1" applyBorder="1" applyProtection="1"/>
    <xf numFmtId="4" fontId="19" fillId="0" borderId="12" xfId="3" applyNumberFormat="1" applyFont="1" applyBorder="1" applyProtection="1"/>
    <xf numFmtId="4" fontId="25" fillId="0" borderId="1" xfId="3" applyNumberFormat="1" applyFont="1" applyBorder="1" applyProtection="1">
      <protection locked="0"/>
    </xf>
    <xf numFmtId="2" fontId="37" fillId="0" borderId="0" xfId="3" applyNumberFormat="1" applyFont="1" applyAlignment="1" applyProtection="1">
      <alignment horizontal="right"/>
    </xf>
    <xf numFmtId="0" fontId="30" fillId="0" borderId="12" xfId="3" applyFont="1" applyBorder="1" applyAlignment="1" applyProtection="1">
      <alignment horizontal="left"/>
    </xf>
    <xf numFmtId="4" fontId="31" fillId="0" borderId="1" xfId="3" applyNumberFormat="1" applyFont="1" applyBorder="1" applyProtection="1"/>
    <xf numFmtId="4" fontId="19" fillId="0" borderId="0" xfId="3" applyNumberFormat="1" applyFont="1" applyProtection="1">
      <protection locked="0"/>
    </xf>
    <xf numFmtId="0" fontId="38" fillId="0" borderId="3" xfId="3" applyFont="1" applyBorder="1" applyAlignment="1">
      <alignment horizontal="left"/>
    </xf>
    <xf numFmtId="4" fontId="19" fillId="0" borderId="0" xfId="3" applyNumberFormat="1" applyFont="1" applyBorder="1" applyProtection="1"/>
    <xf numFmtId="0" fontId="39" fillId="0" borderId="0" xfId="3" applyFont="1" applyAlignment="1" applyProtection="1"/>
    <xf numFmtId="0" fontId="39" fillId="0" borderId="0" xfId="3" applyFont="1" applyAlignment="1" applyProtection="1">
      <alignment horizontal="center"/>
    </xf>
    <xf numFmtId="0" fontId="40" fillId="0" borderId="0" xfId="3" applyFont="1" applyAlignment="1" applyProtection="1"/>
    <xf numFmtId="0" fontId="40" fillId="0" borderId="0" xfId="3" applyFont="1" applyAlignment="1" applyProtection="1">
      <alignment horizontal="center"/>
    </xf>
    <xf numFmtId="2" fontId="15" fillId="0" borderId="0" xfId="3" applyNumberFormat="1"/>
    <xf numFmtId="2" fontId="15" fillId="0" borderId="0" xfId="3" applyNumberFormat="1" applyAlignment="1">
      <alignment horizontal="centerContinuous"/>
    </xf>
    <xf numFmtId="2" fontId="42" fillId="0" borderId="0" xfId="3" applyNumberFormat="1" applyFont="1" applyAlignment="1">
      <alignment horizontal="centerContinuous"/>
    </xf>
    <xf numFmtId="0" fontId="15" fillId="0" borderId="0" xfId="3" applyAlignment="1">
      <alignment horizontal="centerContinuous"/>
    </xf>
    <xf numFmtId="2" fontId="43" fillId="0" borderId="0" xfId="3" applyNumberFormat="1" applyFont="1" applyAlignment="1">
      <alignment horizontal="centerContinuous"/>
    </xf>
    <xf numFmtId="2" fontId="15" fillId="0" borderId="0" xfId="3" applyNumberFormat="1" applyBorder="1" applyAlignment="1">
      <alignment horizontal="centerContinuous"/>
    </xf>
    <xf numFmtId="2" fontId="44" fillId="0" borderId="0" xfId="3" applyNumberFormat="1" applyFont="1" applyAlignment="1">
      <alignment horizontal="centerContinuous"/>
    </xf>
    <xf numFmtId="2" fontId="15" fillId="0" borderId="0" xfId="3" applyNumberFormat="1" applyProtection="1">
      <protection locked="0"/>
    </xf>
    <xf numFmtId="2" fontId="15" fillId="0" borderId="0" xfId="3" applyNumberFormat="1" applyAlignment="1" applyProtection="1">
      <alignment horizontal="centerContinuous"/>
      <protection locked="0"/>
    </xf>
    <xf numFmtId="2" fontId="42" fillId="0" borderId="0" xfId="3" applyNumberFormat="1" applyFont="1" applyAlignment="1" applyProtection="1">
      <alignment horizontal="centerContinuous"/>
      <protection locked="0"/>
    </xf>
    <xf numFmtId="0" fontId="15" fillId="0" borderId="0" xfId="3" applyAlignment="1" applyProtection="1">
      <alignment horizontal="centerContinuous"/>
      <protection locked="0"/>
    </xf>
    <xf numFmtId="2" fontId="43" fillId="0" borderId="0" xfId="3" applyNumberFormat="1" applyFont="1" applyAlignment="1" applyProtection="1">
      <alignment horizontal="centerContinuous"/>
      <protection locked="0"/>
    </xf>
    <xf numFmtId="0" fontId="22" fillId="0" borderId="0" xfId="3" applyFont="1" applyAlignment="1">
      <alignment horizontal="left"/>
    </xf>
    <xf numFmtId="2" fontId="44" fillId="0" borderId="0" xfId="3" applyNumberFormat="1" applyFont="1" applyAlignment="1" applyProtection="1">
      <alignment horizontal="left"/>
      <protection locked="0"/>
    </xf>
    <xf numFmtId="0" fontId="23" fillId="0" borderId="0" xfId="3" applyFont="1" applyProtection="1"/>
    <xf numFmtId="2" fontId="44" fillId="0" borderId="0" xfId="3" applyNumberFormat="1" applyFont="1" applyAlignment="1">
      <alignment horizontal="left"/>
    </xf>
    <xf numFmtId="2" fontId="44" fillId="0" borderId="0" xfId="3" applyNumberFormat="1" applyFont="1" applyAlignment="1">
      <alignment horizontal="right" vertical="center"/>
    </xf>
    <xf numFmtId="2" fontId="44" fillId="0" borderId="0" xfId="3" applyNumberFormat="1" applyFont="1" applyAlignment="1">
      <alignment horizontal="left" vertical="center"/>
    </xf>
    <xf numFmtId="2" fontId="15" fillId="0" borderId="0" xfId="3" applyNumberFormat="1" applyAlignment="1"/>
    <xf numFmtId="2" fontId="39" fillId="0" borderId="0" xfId="3" applyNumberFormat="1" applyFont="1" applyAlignment="1" applyProtection="1">
      <alignment horizontal="left" vertical="center"/>
      <protection locked="0"/>
    </xf>
    <xf numFmtId="2" fontId="39" fillId="0" borderId="0" xfId="3" applyNumberFormat="1" applyFont="1" applyAlignment="1" applyProtection="1">
      <alignment horizontal="left" vertical="center"/>
    </xf>
    <xf numFmtId="2" fontId="15" fillId="0" borderId="11" xfId="3" applyNumberFormat="1" applyBorder="1" applyAlignment="1"/>
    <xf numFmtId="2" fontId="15" fillId="0" borderId="10" xfId="3" applyNumberFormat="1" applyBorder="1"/>
    <xf numFmtId="2" fontId="15" fillId="0" borderId="0" xfId="3" applyNumberFormat="1" applyAlignment="1">
      <alignment horizontal="center"/>
    </xf>
    <xf numFmtId="2" fontId="15" fillId="0" borderId="0" xfId="3" applyNumberFormat="1" applyBorder="1"/>
    <xf numFmtId="2" fontId="15" fillId="0" borderId="6" xfId="3" applyNumberFormat="1" applyBorder="1"/>
    <xf numFmtId="2" fontId="45" fillId="0" borderId="5" xfId="3" applyNumberFormat="1" applyFont="1" applyBorder="1" applyProtection="1"/>
    <xf numFmtId="2" fontId="15" fillId="0" borderId="0" xfId="3" applyNumberFormat="1" applyProtection="1"/>
    <xf numFmtId="2" fontId="23" fillId="0" borderId="0" xfId="3" applyNumberFormat="1" applyFont="1" applyProtection="1"/>
    <xf numFmtId="2" fontId="46" fillId="0" borderId="0" xfId="3" applyNumberFormat="1" applyFont="1" applyProtection="1"/>
    <xf numFmtId="2" fontId="45" fillId="0" borderId="0" xfId="3" applyNumberFormat="1" applyFont="1" applyAlignment="1" applyProtection="1">
      <alignment horizontal="center"/>
    </xf>
    <xf numFmtId="2" fontId="45" fillId="0" borderId="0" xfId="3" applyNumberFormat="1" applyFont="1" applyAlignment="1" applyProtection="1"/>
    <xf numFmtId="2" fontId="23" fillId="0" borderId="0" xfId="3" applyNumberFormat="1" applyFont="1" applyAlignment="1" applyProtection="1">
      <alignment horizontal="left"/>
    </xf>
    <xf numFmtId="0" fontId="23" fillId="0" borderId="0" xfId="3" applyFont="1" applyAlignment="1" applyProtection="1">
      <alignment horizontal="left"/>
      <protection locked="0"/>
    </xf>
    <xf numFmtId="2" fontId="39" fillId="0" borderId="0" xfId="3" applyNumberFormat="1" applyFont="1"/>
    <xf numFmtId="2" fontId="15" fillId="0" borderId="0" xfId="3" applyNumberFormat="1" applyBorder="1" applyProtection="1"/>
    <xf numFmtId="2" fontId="15" fillId="0" borderId="6" xfId="3" applyNumberFormat="1" applyBorder="1" applyProtection="1"/>
    <xf numFmtId="0" fontId="23" fillId="0" borderId="0" xfId="3" applyFont="1" applyAlignment="1" applyProtection="1">
      <alignment horizontal="left"/>
    </xf>
    <xf numFmtId="2" fontId="27" fillId="0" borderId="0" xfId="3" applyNumberFormat="1" applyFont="1" applyProtection="1"/>
    <xf numFmtId="2" fontId="15" fillId="0" borderId="0" xfId="3" applyNumberFormat="1" applyAlignment="1" applyProtection="1">
      <alignment horizontal="center"/>
    </xf>
    <xf numFmtId="0" fontId="15" fillId="0" borderId="0" xfId="3" applyProtection="1"/>
    <xf numFmtId="2" fontId="23" fillId="0" borderId="0" xfId="3" quotePrefix="1" applyNumberFormat="1" applyFont="1" applyProtection="1"/>
    <xf numFmtId="2" fontId="23" fillId="0" borderId="0" xfId="3" quotePrefix="1" applyNumberFormat="1" applyFont="1" applyProtection="1">
      <protection locked="0"/>
    </xf>
    <xf numFmtId="2" fontId="23" fillId="0" borderId="0" xfId="3" applyNumberFormat="1" applyFont="1" applyAlignment="1" applyProtection="1">
      <alignment horizontal="right"/>
    </xf>
    <xf numFmtId="2" fontId="45" fillId="0" borderId="5" xfId="3" applyNumberFormat="1" applyFont="1" applyBorder="1" applyAlignment="1" applyProtection="1">
      <alignment horizontal="left"/>
    </xf>
    <xf numFmtId="2" fontId="23" fillId="0" borderId="0" xfId="3" applyNumberFormat="1" applyFont="1" applyProtection="1">
      <protection locked="0"/>
    </xf>
    <xf numFmtId="2" fontId="27" fillId="0" borderId="0" xfId="3" applyNumberFormat="1" applyFont="1" applyProtection="1">
      <protection locked="0"/>
    </xf>
    <xf numFmtId="2" fontId="45" fillId="0" borderId="0" xfId="3" applyNumberFormat="1" applyFont="1" applyProtection="1"/>
    <xf numFmtId="2" fontId="23" fillId="0" borderId="0" xfId="3" applyNumberFormat="1" applyFont="1" applyBorder="1" applyAlignment="1" applyProtection="1">
      <alignment horizontal="right"/>
    </xf>
    <xf numFmtId="2" fontId="15" fillId="0" borderId="0" xfId="3" quotePrefix="1" applyNumberFormat="1" applyBorder="1" applyAlignment="1" applyProtection="1">
      <alignment horizontal="left"/>
    </xf>
    <xf numFmtId="0" fontId="15" fillId="0" borderId="0" xfId="3" applyBorder="1" applyProtection="1"/>
    <xf numFmtId="0" fontId="15" fillId="0" borderId="6" xfId="3" applyBorder="1" applyProtection="1"/>
    <xf numFmtId="2" fontId="23" fillId="0" borderId="0" xfId="3" quotePrefix="1" applyNumberFormat="1" applyFont="1" applyBorder="1" applyProtection="1"/>
    <xf numFmtId="2" fontId="15" fillId="0" borderId="7" xfId="3" applyNumberFormat="1" applyBorder="1" applyProtection="1"/>
    <xf numFmtId="2" fontId="15" fillId="0" borderId="8" xfId="3" applyNumberFormat="1" applyBorder="1" applyProtection="1"/>
    <xf numFmtId="2" fontId="15" fillId="0" borderId="8" xfId="3" applyNumberFormat="1" applyBorder="1" applyAlignment="1" applyProtection="1">
      <alignment horizontal="center"/>
    </xf>
    <xf numFmtId="2" fontId="15" fillId="0" borderId="8" xfId="3" applyNumberFormat="1" applyBorder="1" applyAlignment="1" applyProtection="1"/>
    <xf numFmtId="2" fontId="15" fillId="0" borderId="4" xfId="3" applyNumberFormat="1" applyBorder="1" applyProtection="1"/>
    <xf numFmtId="2" fontId="15" fillId="0" borderId="0" xfId="3" applyNumberFormat="1" applyBorder="1" applyAlignment="1" applyProtection="1">
      <alignment horizontal="center"/>
    </xf>
    <xf numFmtId="2" fontId="15" fillId="0" borderId="0" xfId="3" applyNumberFormat="1" applyBorder="1" applyAlignment="1" applyProtection="1"/>
    <xf numFmtId="1" fontId="15" fillId="0" borderId="74" xfId="3" applyNumberFormat="1" applyBorder="1" applyAlignment="1">
      <alignment horizontal="left"/>
    </xf>
    <xf numFmtId="2" fontId="15" fillId="0" borderId="35" xfId="3" applyNumberFormat="1" applyBorder="1"/>
    <xf numFmtId="2" fontId="15" fillId="0" borderId="75" xfId="3" applyNumberFormat="1" applyBorder="1"/>
    <xf numFmtId="2" fontId="15" fillId="0" borderId="76" xfId="3" applyNumberFormat="1" applyBorder="1"/>
    <xf numFmtId="2" fontId="15" fillId="0" borderId="43" xfId="3" applyNumberFormat="1" applyBorder="1"/>
    <xf numFmtId="2" fontId="15" fillId="0" borderId="43" xfId="3" applyNumberFormat="1" applyBorder="1" applyAlignment="1">
      <alignment horizontal="center"/>
    </xf>
    <xf numFmtId="2" fontId="15" fillId="0" borderId="77" xfId="3" applyNumberFormat="1" applyBorder="1" applyAlignment="1"/>
    <xf numFmtId="2" fontId="15" fillId="0" borderId="19" xfId="3" applyNumberFormat="1" applyBorder="1" applyAlignment="1">
      <alignment horizontal="centerContinuous"/>
    </xf>
    <xf numFmtId="2" fontId="46" fillId="0" borderId="19" xfId="3" applyNumberFormat="1" applyFont="1" applyBorder="1" applyAlignment="1">
      <alignment horizontal="centerContinuous"/>
    </xf>
    <xf numFmtId="2" fontId="15" fillId="0" borderId="21" xfId="3" applyNumberFormat="1" applyBorder="1" applyAlignment="1">
      <alignment horizontal="left"/>
    </xf>
    <xf numFmtId="2" fontId="46" fillId="0" borderId="62" xfId="3" applyNumberFormat="1" applyFont="1" applyBorder="1" applyAlignment="1">
      <alignment horizontal="center"/>
    </xf>
    <xf numFmtId="2" fontId="27" fillId="0" borderId="14" xfId="3" applyNumberFormat="1" applyFont="1" applyBorder="1" applyAlignment="1">
      <alignment horizontal="centerContinuous"/>
    </xf>
    <xf numFmtId="2" fontId="46" fillId="0" borderId="14" xfId="3" applyNumberFormat="1" applyFont="1" applyBorder="1" applyAlignment="1">
      <alignment horizontal="centerContinuous"/>
    </xf>
    <xf numFmtId="2" fontId="27" fillId="0" borderId="14" xfId="3" applyNumberFormat="1" applyFont="1" applyBorder="1" applyAlignment="1">
      <alignment horizontal="center"/>
    </xf>
    <xf numFmtId="2" fontId="27" fillId="0" borderId="2" xfId="3" applyNumberFormat="1" applyFont="1" applyBorder="1" applyAlignment="1" applyProtection="1">
      <alignment horizontal="right"/>
    </xf>
    <xf numFmtId="1" fontId="27" fillId="0" borderId="4" xfId="3" applyNumberFormat="1" applyFont="1" applyBorder="1" applyAlignment="1" applyProtection="1">
      <alignment horizontal="left"/>
    </xf>
    <xf numFmtId="1" fontId="27" fillId="0" borderId="59" xfId="3" applyNumberFormat="1" applyFont="1" applyBorder="1" applyAlignment="1" applyProtection="1">
      <alignment horizontal="left"/>
    </xf>
    <xf numFmtId="2" fontId="27" fillId="0" borderId="5" xfId="3" applyNumberFormat="1" applyFont="1" applyBorder="1" applyAlignment="1">
      <alignment horizontal="centerContinuous"/>
    </xf>
    <xf numFmtId="2" fontId="46" fillId="0" borderId="6" xfId="3" applyNumberFormat="1" applyFont="1" applyBorder="1" applyAlignment="1">
      <alignment horizontal="centerContinuous"/>
    </xf>
    <xf numFmtId="2" fontId="27" fillId="0" borderId="6" xfId="3" applyNumberFormat="1" applyFont="1" applyBorder="1" applyAlignment="1">
      <alignment horizontal="centerContinuous"/>
    </xf>
    <xf numFmtId="2" fontId="27" fillId="0" borderId="6" xfId="3" applyNumberFormat="1" applyFont="1" applyBorder="1" applyAlignment="1">
      <alignment horizontal="center"/>
    </xf>
    <xf numFmtId="2" fontId="27" fillId="0" borderId="13" xfId="3" applyNumberFormat="1" applyFont="1" applyBorder="1" applyAlignment="1">
      <alignment horizontal="centerContinuous"/>
    </xf>
    <xf numFmtId="2" fontId="27" fillId="0" borderId="46" xfId="3" applyNumberFormat="1" applyFont="1" applyBorder="1" applyAlignment="1">
      <alignment horizontal="centerContinuous"/>
    </xf>
    <xf numFmtId="1" fontId="45" fillId="0" borderId="23" xfId="3" applyNumberFormat="1" applyFont="1" applyBorder="1" applyAlignment="1">
      <alignment horizontal="center"/>
    </xf>
    <xf numFmtId="2" fontId="45" fillId="0" borderId="11" xfId="3" applyNumberFormat="1" applyFont="1" applyBorder="1" applyAlignment="1"/>
    <xf numFmtId="2" fontId="15" fillId="0" borderId="10" xfId="3" applyNumberFormat="1" applyBorder="1" applyAlignment="1">
      <alignment horizontal="centerContinuous"/>
    </xf>
    <xf numFmtId="168" fontId="45" fillId="24" borderId="10" xfId="3" applyNumberFormat="1" applyFont="1" applyFill="1" applyBorder="1" applyAlignment="1">
      <alignment horizontal="right"/>
    </xf>
    <xf numFmtId="2" fontId="45" fillId="0" borderId="10" xfId="3" applyNumberFormat="1" applyFont="1" applyBorder="1" applyAlignment="1">
      <alignment horizontal="center"/>
    </xf>
    <xf numFmtId="2" fontId="45" fillId="24" borderId="1" xfId="3" applyNumberFormat="1" applyFont="1" applyFill="1" applyBorder="1" applyAlignment="1" applyProtection="1">
      <protection locked="0"/>
    </xf>
    <xf numFmtId="2" fontId="45" fillId="0" borderId="1" xfId="3" applyNumberFormat="1" applyFont="1" applyBorder="1" applyProtection="1">
      <protection locked="0"/>
    </xf>
    <xf numFmtId="2" fontId="45" fillId="24" borderId="1" xfId="3" applyNumberFormat="1" applyFont="1" applyFill="1" applyBorder="1"/>
    <xf numFmtId="2" fontId="45" fillId="24" borderId="16" xfId="3" applyNumberFormat="1" applyFont="1" applyFill="1" applyBorder="1"/>
    <xf numFmtId="2" fontId="45" fillId="0" borderId="11" xfId="3" applyNumberFormat="1" applyFont="1" applyBorder="1"/>
    <xf numFmtId="168" fontId="15" fillId="25" borderId="10" xfId="3" applyNumberFormat="1" applyFill="1" applyBorder="1" applyAlignment="1">
      <alignment horizontal="right"/>
    </xf>
    <xf numFmtId="2" fontId="15" fillId="25" borderId="10" xfId="3" applyNumberFormat="1" applyFill="1" applyBorder="1" applyAlignment="1">
      <alignment horizontal="center"/>
    </xf>
    <xf numFmtId="2" fontId="15" fillId="25" borderId="1" xfId="3" applyNumberFormat="1" applyFill="1" applyBorder="1" applyAlignment="1" applyProtection="1"/>
    <xf numFmtId="2" fontId="15" fillId="25" borderId="1" xfId="3" applyNumberFormat="1" applyFill="1" applyBorder="1" applyProtection="1"/>
    <xf numFmtId="2" fontId="15" fillId="25" borderId="16" xfId="3" applyNumberFormat="1" applyFill="1" applyBorder="1" applyProtection="1"/>
    <xf numFmtId="168" fontId="15" fillId="24" borderId="10" xfId="3" applyNumberFormat="1" applyFill="1" applyBorder="1" applyAlignment="1">
      <alignment horizontal="right"/>
    </xf>
    <xf numFmtId="2" fontId="15" fillId="24" borderId="1" xfId="3" applyNumberFormat="1" applyFill="1" applyBorder="1" applyAlignment="1" applyProtection="1">
      <protection locked="0"/>
    </xf>
    <xf numFmtId="1" fontId="45" fillId="0" borderId="67" xfId="3" applyNumberFormat="1" applyFont="1" applyBorder="1" applyAlignment="1">
      <alignment horizontal="center"/>
    </xf>
    <xf numFmtId="2" fontId="45" fillId="0" borderId="45" xfId="3" applyNumberFormat="1" applyFont="1" applyBorder="1"/>
    <xf numFmtId="2" fontId="15" fillId="0" borderId="27" xfId="3" applyNumberFormat="1" applyBorder="1"/>
    <xf numFmtId="169" fontId="45" fillId="24" borderId="27" xfId="3" applyNumberFormat="1" applyFont="1" applyFill="1" applyBorder="1" applyAlignment="1">
      <alignment horizontal="right"/>
    </xf>
    <xf numFmtId="2" fontId="45" fillId="0" borderId="27" xfId="3" applyNumberFormat="1" applyFont="1" applyBorder="1" applyAlignment="1">
      <alignment horizontal="center"/>
    </xf>
    <xf numFmtId="2" fontId="45" fillId="24" borderId="28" xfId="3" applyNumberFormat="1" applyFont="1" applyFill="1" applyBorder="1" applyAlignment="1" applyProtection="1">
      <protection locked="0"/>
    </xf>
    <xf numFmtId="2" fontId="45" fillId="0" borderId="28" xfId="3" applyNumberFormat="1" applyFont="1" applyBorder="1" applyProtection="1">
      <protection locked="0"/>
    </xf>
    <xf numFmtId="2" fontId="45" fillId="24" borderId="28" xfId="3" applyNumberFormat="1" applyFont="1" applyFill="1" applyBorder="1"/>
    <xf numFmtId="2" fontId="45" fillId="24" borderId="29" xfId="3" applyNumberFormat="1" applyFont="1" applyFill="1" applyBorder="1"/>
    <xf numFmtId="1" fontId="15" fillId="21" borderId="0" xfId="3" applyNumberFormat="1" applyFill="1" applyBorder="1" applyAlignment="1">
      <alignment horizontal="center"/>
    </xf>
    <xf numFmtId="2" fontId="15" fillId="21" borderId="0" xfId="3" applyNumberFormat="1" applyFill="1" applyBorder="1"/>
    <xf numFmtId="168" fontId="15" fillId="21" borderId="0" xfId="3" applyNumberFormat="1" applyFill="1" applyBorder="1" applyAlignment="1">
      <alignment horizontal="right"/>
    </xf>
    <xf numFmtId="2" fontId="15" fillId="21" borderId="0" xfId="3" applyNumberFormat="1" applyFill="1" applyBorder="1" applyAlignment="1">
      <alignment horizontal="center"/>
    </xf>
    <xf numFmtId="2" fontId="15" fillId="21" borderId="0" xfId="3" applyNumberFormat="1" applyFill="1" applyBorder="1" applyAlignment="1" applyProtection="1">
      <protection locked="0"/>
    </xf>
    <xf numFmtId="2" fontId="15" fillId="21" borderId="0" xfId="3" applyNumberFormat="1" applyFill="1" applyBorder="1" applyProtection="1">
      <protection locked="0"/>
    </xf>
    <xf numFmtId="2" fontId="15" fillId="0" borderId="39" xfId="3" applyNumberFormat="1" applyBorder="1"/>
    <xf numFmtId="2" fontId="15" fillId="0" borderId="30" xfId="3" applyNumberFormat="1" applyBorder="1"/>
    <xf numFmtId="2" fontId="15" fillId="0" borderId="41" xfId="3" applyNumberFormat="1" applyBorder="1"/>
    <xf numFmtId="168" fontId="39" fillId="21" borderId="30" xfId="3" applyNumberFormat="1" applyFont="1" applyFill="1" applyBorder="1"/>
    <xf numFmtId="2" fontId="27" fillId="0" borderId="78" xfId="3" applyNumberFormat="1" applyFont="1" applyBorder="1" applyAlignment="1">
      <alignment horizontal="center"/>
    </xf>
    <xf numFmtId="2" fontId="46" fillId="24" borderId="78" xfId="3" applyNumberFormat="1" applyFont="1" applyFill="1" applyBorder="1" applyAlignment="1"/>
    <xf numFmtId="2" fontId="45" fillId="21" borderId="78" xfId="3" applyNumberFormat="1" applyFont="1" applyFill="1" applyBorder="1" applyAlignment="1">
      <alignment horizontal="centerContinuous"/>
    </xf>
    <xf numFmtId="2" fontId="46" fillId="24" borderId="32" xfId="3" applyNumberFormat="1" applyFont="1" applyFill="1" applyBorder="1"/>
    <xf numFmtId="2" fontId="46" fillId="24" borderId="33" xfId="3" applyNumberFormat="1" applyFont="1" applyFill="1" applyBorder="1"/>
    <xf numFmtId="170" fontId="15" fillId="0" borderId="0" xfId="3" applyNumberFormat="1" applyFill="1" applyBorder="1" applyAlignment="1">
      <alignment horizontal="center"/>
    </xf>
    <xf numFmtId="0" fontId="15" fillId="0" borderId="0" xfId="3" applyFill="1" applyBorder="1" applyAlignment="1">
      <alignment horizontal="center"/>
    </xf>
    <xf numFmtId="14" fontId="15" fillId="0" borderId="8" xfId="3" applyNumberFormat="1" applyBorder="1" applyAlignment="1" applyProtection="1">
      <alignment horizontal="center" vertical="center"/>
      <protection locked="0"/>
    </xf>
    <xf numFmtId="2" fontId="15" fillId="0" borderId="8" xfId="3" applyNumberFormat="1" applyBorder="1" applyAlignment="1" applyProtection="1">
      <protection locked="0"/>
    </xf>
    <xf numFmtId="2" fontId="15" fillId="0" borderId="8" xfId="3" applyNumberFormat="1" applyBorder="1"/>
    <xf numFmtId="2" fontId="15" fillId="0" borderId="0" xfId="3" applyNumberFormat="1" applyBorder="1" applyProtection="1">
      <protection locked="0"/>
    </xf>
    <xf numFmtId="2" fontId="15" fillId="0" borderId="8" xfId="3" applyNumberFormat="1" applyBorder="1" applyAlignment="1"/>
    <xf numFmtId="2" fontId="23" fillId="0" borderId="0" xfId="3" applyNumberFormat="1" applyFont="1" applyAlignment="1">
      <alignment horizontal="center"/>
    </xf>
    <xf numFmtId="0" fontId="47" fillId="0" borderId="0" xfId="3" applyFont="1" applyAlignment="1">
      <alignment horizontal="centerContinuous"/>
    </xf>
    <xf numFmtId="2" fontId="47" fillId="0" borderId="3" xfId="3" applyNumberFormat="1" applyFont="1" applyBorder="1" applyAlignment="1"/>
    <xf numFmtId="2" fontId="15" fillId="0" borderId="3" xfId="3" applyNumberFormat="1" applyBorder="1" applyAlignment="1"/>
    <xf numFmtId="0" fontId="15" fillId="0" borderId="0" xfId="3" applyBorder="1" applyAlignment="1"/>
    <xf numFmtId="0" fontId="15" fillId="0" borderId="3" xfId="3" applyBorder="1"/>
    <xf numFmtId="2" fontId="23" fillId="0" borderId="3" xfId="3" applyNumberFormat="1" applyFont="1" applyBorder="1" applyAlignment="1">
      <alignment horizontal="centerContinuous"/>
    </xf>
    <xf numFmtId="2" fontId="15" fillId="0" borderId="3" xfId="3" applyNumberFormat="1" applyBorder="1" applyAlignment="1">
      <alignment horizontal="centerContinuous"/>
    </xf>
    <xf numFmtId="2" fontId="15" fillId="0" borderId="3" xfId="3" applyNumberFormat="1" applyBorder="1"/>
    <xf numFmtId="0" fontId="23" fillId="0" borderId="3" xfId="3" applyFont="1" applyBorder="1"/>
    <xf numFmtId="2" fontId="15" fillId="0" borderId="0" xfId="3" applyNumberFormat="1" applyBorder="1" applyAlignment="1">
      <alignment vertical="center"/>
    </xf>
    <xf numFmtId="2" fontId="15" fillId="0" borderId="0" xfId="3" applyNumberFormat="1" applyAlignment="1">
      <alignment vertical="center"/>
    </xf>
    <xf numFmtId="0" fontId="49" fillId="0" borderId="0" xfId="3" applyFont="1" applyProtection="1">
      <protection locked="0"/>
    </xf>
    <xf numFmtId="0" fontId="15" fillId="0" borderId="0" xfId="3" applyProtection="1">
      <protection locked="0"/>
    </xf>
    <xf numFmtId="0" fontId="49" fillId="0" borderId="0" xfId="3" applyFont="1" applyBorder="1"/>
    <xf numFmtId="0" fontId="49" fillId="0" borderId="5" xfId="3" applyFont="1" applyBorder="1" applyAlignment="1">
      <alignment horizontal="left"/>
    </xf>
    <xf numFmtId="0" fontId="49" fillId="0" borderId="6" xfId="3" applyFont="1" applyBorder="1"/>
    <xf numFmtId="0" fontId="49" fillId="0" borderId="0" xfId="3" applyFont="1" applyFill="1"/>
    <xf numFmtId="0" fontId="49" fillId="0" borderId="0" xfId="3" applyFont="1"/>
    <xf numFmtId="0" fontId="23" fillId="0" borderId="7" xfId="3" applyFont="1" applyBorder="1" applyProtection="1"/>
    <xf numFmtId="0" fontId="15" fillId="0" borderId="8" xfId="3" applyBorder="1"/>
    <xf numFmtId="0" fontId="15" fillId="0" borderId="9" xfId="3" applyBorder="1"/>
    <xf numFmtId="0" fontId="23" fillId="0" borderId="7" xfId="3" quotePrefix="1" applyFont="1" applyBorder="1" applyProtection="1"/>
    <xf numFmtId="0" fontId="23" fillId="0" borderId="9" xfId="3" quotePrefix="1" applyFont="1" applyBorder="1" applyProtection="1">
      <protection locked="0"/>
    </xf>
    <xf numFmtId="0" fontId="15" fillId="0" borderId="0" xfId="3" applyFill="1"/>
    <xf numFmtId="0" fontId="15" fillId="0" borderId="0" xfId="3" applyFill="1" applyProtection="1">
      <protection locked="0"/>
    </xf>
    <xf numFmtId="0" fontId="15" fillId="0" borderId="0" xfId="3" applyFill="1" applyBorder="1" applyProtection="1">
      <protection locked="0"/>
    </xf>
    <xf numFmtId="0" fontId="49" fillId="20" borderId="0" xfId="3" applyFont="1" applyFill="1"/>
    <xf numFmtId="0" fontId="33" fillId="20" borderId="0" xfId="3" quotePrefix="1" applyFont="1" applyFill="1" applyAlignment="1">
      <alignment horizontal="left"/>
    </xf>
    <xf numFmtId="0" fontId="15" fillId="20" borderId="0" xfId="3" applyFill="1"/>
    <xf numFmtId="0" fontId="46" fillId="20" borderId="0" xfId="3" applyFont="1" applyFill="1"/>
    <xf numFmtId="0" fontId="27" fillId="20" borderId="0" xfId="3" applyFont="1" applyFill="1" applyProtection="1"/>
    <xf numFmtId="0" fontId="40" fillId="20" borderId="0" xfId="3" applyFont="1" applyFill="1"/>
    <xf numFmtId="4" fontId="27" fillId="20" borderId="0" xfId="3" applyNumberFormat="1" applyFont="1" applyFill="1" applyProtection="1"/>
    <xf numFmtId="0" fontId="49" fillId="20" borderId="0" xfId="3" applyFont="1" applyFill="1" applyBorder="1"/>
    <xf numFmtId="0" fontId="27" fillId="20" borderId="0" xfId="3" applyFont="1" applyFill="1" applyProtection="1">
      <protection locked="0"/>
    </xf>
    <xf numFmtId="0" fontId="25" fillId="0" borderId="0" xfId="3" applyFont="1"/>
    <xf numFmtId="0" fontId="50" fillId="0" borderId="0" xfId="3" applyFont="1"/>
    <xf numFmtId="0" fontId="51" fillId="0" borderId="0" xfId="3" applyFont="1" applyBorder="1" applyAlignment="1">
      <alignment horizontal="left"/>
    </xf>
    <xf numFmtId="2" fontId="15" fillId="0" borderId="7" xfId="3" applyNumberFormat="1" applyBorder="1" applyAlignment="1">
      <alignment horizontal="left"/>
    </xf>
    <xf numFmtId="0" fontId="15" fillId="0" borderId="8" xfId="3" applyBorder="1" applyAlignment="1" applyProtection="1">
      <alignment horizontal="left"/>
      <protection locked="0"/>
    </xf>
    <xf numFmtId="0" fontId="39" fillId="0" borderId="1" xfId="3" applyFont="1" applyBorder="1" applyAlignment="1" applyProtection="1">
      <alignment horizontal="center"/>
      <protection locked="0"/>
    </xf>
    <xf numFmtId="2" fontId="23" fillId="0" borderId="7" xfId="3" applyNumberFormat="1" applyFont="1" applyBorder="1" applyAlignment="1" applyProtection="1">
      <alignment horizontal="left"/>
    </xf>
    <xf numFmtId="0" fontId="23" fillId="0" borderId="8" xfId="3" applyFont="1" applyBorder="1"/>
    <xf numFmtId="2" fontId="23" fillId="0" borderId="7" xfId="3" applyNumberFormat="1" applyFont="1" applyBorder="1" applyProtection="1">
      <protection locked="0"/>
    </xf>
    <xf numFmtId="0" fontId="22" fillId="0" borderId="5" xfId="3" applyFont="1" applyBorder="1"/>
    <xf numFmtId="0" fontId="15" fillId="0" borderId="7" xfId="3" applyBorder="1" applyProtection="1">
      <protection locked="0"/>
    </xf>
    <xf numFmtId="0" fontId="49" fillId="0" borderId="5" xfId="3" applyFont="1" applyBorder="1"/>
    <xf numFmtId="0" fontId="49" fillId="0" borderId="14" xfId="3" applyFont="1" applyBorder="1"/>
    <xf numFmtId="0" fontId="15" fillId="0" borderId="15" xfId="3" applyBorder="1" applyProtection="1">
      <protection locked="0"/>
    </xf>
    <xf numFmtId="0" fontId="26" fillId="0" borderId="0" xfId="3" applyFont="1"/>
    <xf numFmtId="0" fontId="26" fillId="0" borderId="0" xfId="3" applyFont="1" applyFill="1"/>
    <xf numFmtId="0" fontId="50" fillId="0" borderId="0" xfId="3" applyFont="1" applyFill="1"/>
    <xf numFmtId="0" fontId="50" fillId="0" borderId="0" xfId="3" applyFont="1" applyBorder="1"/>
    <xf numFmtId="0" fontId="52" fillId="0" borderId="0" xfId="3" applyFont="1" applyBorder="1" applyAlignment="1">
      <alignment horizontal="left"/>
    </xf>
    <xf numFmtId="14" fontId="50" fillId="0" borderId="1" xfId="3" applyNumberFormat="1" applyFont="1" applyBorder="1" applyAlignment="1"/>
    <xf numFmtId="0" fontId="26" fillId="0" borderId="0" xfId="3" applyFont="1" applyBorder="1" applyAlignment="1">
      <alignment horizontal="left"/>
    </xf>
    <xf numFmtId="0" fontId="22" fillId="0" borderId="0" xfId="3" applyFont="1" applyBorder="1" applyAlignment="1"/>
    <xf numFmtId="0" fontId="22" fillId="0" borderId="5" xfId="3" applyFont="1" applyBorder="1" applyAlignment="1"/>
    <xf numFmtId="0" fontId="49" fillId="0" borderId="6" xfId="3" applyFont="1" applyBorder="1" applyAlignment="1"/>
    <xf numFmtId="0" fontId="49" fillId="0" borderId="0" xfId="3" applyFont="1" applyBorder="1" applyAlignment="1"/>
    <xf numFmtId="0" fontId="51" fillId="0" borderId="0" xfId="3" applyFont="1" applyBorder="1" applyAlignment="1"/>
    <xf numFmtId="0" fontId="49" fillId="0" borderId="5" xfId="3" applyFont="1" applyBorder="1" applyAlignment="1"/>
    <xf numFmtId="0" fontId="49" fillId="0" borderId="14" xfId="3" applyFont="1" applyBorder="1" applyAlignment="1"/>
    <xf numFmtId="0" fontId="15" fillId="0" borderId="0" xfId="3" applyFill="1" applyAlignment="1"/>
    <xf numFmtId="0" fontId="15" fillId="0" borderId="0" xfId="3" applyAlignment="1"/>
    <xf numFmtId="0" fontId="38" fillId="0" borderId="2" xfId="3" applyFont="1" applyBorder="1" applyAlignment="1">
      <alignment horizontal="centerContinuous"/>
    </xf>
    <xf numFmtId="0" fontId="51" fillId="0" borderId="4" xfId="3" applyFont="1" applyBorder="1" applyAlignment="1">
      <alignment horizontal="centerContinuous"/>
    </xf>
    <xf numFmtId="0" fontId="49" fillId="0" borderId="2" xfId="3" quotePrefix="1" applyFont="1" applyBorder="1" applyAlignment="1">
      <alignment horizontal="left"/>
    </xf>
    <xf numFmtId="0" fontId="49" fillId="0" borderId="3" xfId="3" applyFont="1" applyBorder="1" applyAlignment="1"/>
    <xf numFmtId="0" fontId="22" fillId="0" borderId="3" xfId="3" applyFont="1" applyBorder="1" applyAlignment="1"/>
    <xf numFmtId="0" fontId="51" fillId="0" borderId="3" xfId="3" applyFont="1" applyBorder="1" applyAlignment="1"/>
    <xf numFmtId="0" fontId="49" fillId="0" borderId="4" xfId="3" applyFont="1" applyBorder="1" applyAlignment="1"/>
    <xf numFmtId="4" fontId="49" fillId="0" borderId="11" xfId="3" applyNumberFormat="1" applyFont="1" applyBorder="1" applyAlignment="1"/>
    <xf numFmtId="171" fontId="49" fillId="0" borderId="12" xfId="3" applyNumberFormat="1" applyFont="1" applyBorder="1" applyAlignment="1">
      <alignment horizontal="centerContinuous"/>
    </xf>
    <xf numFmtId="0" fontId="49" fillId="0" borderId="10" xfId="3" applyFont="1" applyBorder="1" applyAlignment="1">
      <alignment horizontal="centerContinuous"/>
    </xf>
    <xf numFmtId="2" fontId="49" fillId="0" borderId="1" xfId="3" applyNumberFormat="1" applyFont="1" applyBorder="1" applyAlignment="1">
      <alignment horizontal="centerContinuous"/>
    </xf>
    <xf numFmtId="0" fontId="49" fillId="0" borderId="0" xfId="3" applyFont="1" applyFill="1" applyAlignment="1"/>
    <xf numFmtId="0" fontId="49" fillId="0" borderId="0" xfId="3" applyFont="1" applyAlignment="1"/>
    <xf numFmtId="0" fontId="38" fillId="0" borderId="5" xfId="3" applyFont="1" applyBorder="1" applyAlignment="1">
      <alignment horizontal="centerContinuous"/>
    </xf>
    <xf numFmtId="0" fontId="51" fillId="0" borderId="6" xfId="3" applyFont="1" applyBorder="1" applyAlignment="1">
      <alignment horizontal="centerContinuous"/>
    </xf>
    <xf numFmtId="0" fontId="49" fillId="0" borderId="11" xfId="3" applyFont="1" applyBorder="1" applyAlignment="1"/>
    <xf numFmtId="0" fontId="49" fillId="0" borderId="7" xfId="3" applyFont="1" applyBorder="1" applyAlignment="1"/>
    <xf numFmtId="0" fontId="49" fillId="0" borderId="8" xfId="3" applyFont="1" applyBorder="1" applyAlignment="1"/>
    <xf numFmtId="0" fontId="22" fillId="0" borderId="8" xfId="3" applyFont="1" applyBorder="1" applyAlignment="1"/>
    <xf numFmtId="0" fontId="51" fillId="0" borderId="8" xfId="3" applyFont="1" applyBorder="1" applyAlignment="1"/>
    <xf numFmtId="0" fontId="49" fillId="0" borderId="9" xfId="3" applyFont="1" applyBorder="1" applyAlignment="1"/>
    <xf numFmtId="0" fontId="38" fillId="0" borderId="6" xfId="3" applyFont="1" applyBorder="1" applyAlignment="1">
      <alignment horizontal="centerContinuous"/>
    </xf>
    <xf numFmtId="0" fontId="22" fillId="0" borderId="2" xfId="3" applyFont="1" applyBorder="1" applyAlignment="1"/>
    <xf numFmtId="0" fontId="22" fillId="0" borderId="4" xfId="3" applyFont="1" applyBorder="1" applyAlignment="1"/>
    <xf numFmtId="0" fontId="51" fillId="0" borderId="5" xfId="3" applyFont="1" applyBorder="1" applyAlignment="1">
      <alignment horizontal="centerContinuous"/>
    </xf>
    <xf numFmtId="0" fontId="26" fillId="0" borderId="0" xfId="3" applyFont="1" applyFill="1" applyAlignment="1"/>
    <xf numFmtId="0" fontId="26" fillId="0" borderId="0" xfId="3" applyFont="1" applyAlignment="1"/>
    <xf numFmtId="0" fontId="38" fillId="0" borderId="8" xfId="3" applyFont="1" applyBorder="1" applyAlignment="1"/>
    <xf numFmtId="0" fontId="22" fillId="0" borderId="7" xfId="3" applyFont="1" applyBorder="1" applyAlignment="1"/>
    <xf numFmtId="0" fontId="49" fillId="0" borderId="8" xfId="3" quotePrefix="1" applyFont="1" applyBorder="1" applyAlignment="1"/>
    <xf numFmtId="4" fontId="38" fillId="0" borderId="6" xfId="3" applyNumberFormat="1" applyFont="1" applyBorder="1" applyAlignment="1">
      <alignment horizontal="centerContinuous"/>
    </xf>
    <xf numFmtId="4" fontId="22" fillId="0" borderId="0" xfId="3" applyNumberFormat="1" applyFont="1" applyBorder="1" applyAlignment="1"/>
    <xf numFmtId="0" fontId="38" fillId="0" borderId="0" xfId="3" applyFont="1" applyBorder="1" applyAlignment="1"/>
    <xf numFmtId="4" fontId="22" fillId="0" borderId="6" xfId="3" applyNumberFormat="1" applyFont="1" applyBorder="1" applyAlignment="1"/>
    <xf numFmtId="0" fontId="38" fillId="0" borderId="3" xfId="3" applyFont="1" applyBorder="1" applyAlignment="1"/>
    <xf numFmtId="4" fontId="22" fillId="0" borderId="3" xfId="3" applyNumberFormat="1" applyFont="1" applyBorder="1" applyAlignment="1"/>
    <xf numFmtId="4" fontId="22" fillId="0" borderId="4" xfId="3" applyNumberFormat="1" applyFont="1" applyBorder="1" applyAlignment="1"/>
    <xf numFmtId="0" fontId="22" fillId="0" borderId="0" xfId="3" applyFont="1" applyFill="1" applyAlignment="1"/>
    <xf numFmtId="0" fontId="22" fillId="0" borderId="0" xfId="3" applyFont="1" applyAlignment="1"/>
    <xf numFmtId="0" fontId="49" fillId="0" borderId="2" xfId="3" applyFont="1" applyBorder="1" applyAlignment="1"/>
    <xf numFmtId="0" fontId="22" fillId="0" borderId="6" xfId="3" applyFont="1" applyBorder="1" applyAlignment="1"/>
    <xf numFmtId="0" fontId="22" fillId="0" borderId="9" xfId="3" applyFont="1" applyBorder="1" applyAlignment="1"/>
    <xf numFmtId="4" fontId="22" fillId="0" borderId="5" xfId="3" applyNumberFormat="1" applyFont="1" applyBorder="1" applyAlignment="1"/>
    <xf numFmtId="1" fontId="38" fillId="0" borderId="0" xfId="3" applyNumberFormat="1" applyFont="1" applyBorder="1" applyAlignment="1"/>
    <xf numFmtId="4" fontId="38" fillId="0" borderId="5" xfId="3" applyNumberFormat="1" applyFont="1" applyBorder="1" applyAlignment="1">
      <alignment horizontal="centerContinuous"/>
    </xf>
    <xf numFmtId="0" fontId="22" fillId="0" borderId="5" xfId="3" quotePrefix="1" applyFont="1" applyBorder="1" applyAlignment="1"/>
    <xf numFmtId="0" fontId="49" fillId="0" borderId="0" xfId="3" quotePrefix="1" applyFont="1" applyBorder="1" applyAlignment="1"/>
    <xf numFmtId="0" fontId="38" fillId="0" borderId="7" xfId="3" applyFont="1" applyBorder="1" applyAlignment="1">
      <alignment horizontal="centerContinuous"/>
    </xf>
    <xf numFmtId="0" fontId="51" fillId="0" borderId="9" xfId="3" applyFont="1" applyBorder="1" applyAlignment="1">
      <alignment horizontal="centerContinuous"/>
    </xf>
    <xf numFmtId="171" fontId="25" fillId="0" borderId="12" xfId="3" applyNumberFormat="1" applyFont="1" applyBorder="1" applyAlignment="1">
      <alignment horizontal="centerContinuous"/>
    </xf>
    <xf numFmtId="2" fontId="51" fillId="0" borderId="1" xfId="3" applyNumberFormat="1" applyFont="1" applyBorder="1" applyAlignment="1">
      <alignment horizontal="centerContinuous"/>
    </xf>
    <xf numFmtId="0" fontId="53" fillId="0" borderId="0" xfId="3" applyFont="1" applyBorder="1"/>
    <xf numFmtId="0" fontId="53" fillId="0" borderId="0" xfId="3" applyFont="1" applyFill="1"/>
    <xf numFmtId="0" fontId="53" fillId="0" borderId="0" xfId="3" applyFont="1"/>
    <xf numFmtId="0" fontId="47" fillId="0" borderId="0" xfId="3" applyFont="1" applyBorder="1"/>
    <xf numFmtId="0" fontId="47" fillId="0" borderId="0" xfId="3" applyFont="1"/>
    <xf numFmtId="0" fontId="47" fillId="0" borderId="8" xfId="3" applyFont="1" applyBorder="1"/>
    <xf numFmtId="0" fontId="49" fillId="0" borderId="0" xfId="3" applyFont="1" applyFill="1" applyBorder="1" applyAlignment="1"/>
    <xf numFmtId="0" fontId="47" fillId="0" borderId="0" xfId="3" applyFont="1" applyAlignment="1"/>
    <xf numFmtId="0" fontId="47" fillId="0" borderId="0" xfId="3" applyFont="1" applyAlignment="1">
      <alignment horizontal="left"/>
    </xf>
    <xf numFmtId="0" fontId="0" fillId="8" borderId="44" xfId="0" applyFill="1" applyBorder="1"/>
    <xf numFmtId="0" fontId="0" fillId="8" borderId="25" xfId="0" applyFill="1" applyBorder="1" applyAlignment="1">
      <alignment horizontal="left"/>
    </xf>
    <xf numFmtId="0" fontId="0" fillId="8" borderId="73" xfId="0" applyFill="1" applyBorder="1" applyAlignment="1">
      <alignment horizontal="left"/>
    </xf>
    <xf numFmtId="0" fontId="0" fillId="0" borderId="55" xfId="0" applyBorder="1"/>
    <xf numFmtId="0" fontId="0" fillId="0" borderId="34" xfId="0" applyBorder="1"/>
    <xf numFmtId="0" fontId="0" fillId="5" borderId="55" xfId="0" applyFill="1" applyBorder="1" applyAlignment="1"/>
    <xf numFmtId="0" fontId="6" fillId="5" borderId="55" xfId="0" applyFont="1" applyFill="1" applyBorder="1" applyAlignment="1"/>
    <xf numFmtId="0" fontId="0" fillId="7" borderId="23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4" borderId="23" xfId="0" applyFill="1" applyBorder="1" applyAlignment="1"/>
    <xf numFmtId="0" fontId="0" fillId="4" borderId="16" xfId="0" applyFill="1" applyBorder="1" applyAlignment="1"/>
    <xf numFmtId="0" fontId="0" fillId="4" borderId="23" xfId="0" applyFont="1" applyFill="1" applyBorder="1" applyAlignment="1"/>
    <xf numFmtId="0" fontId="0" fillId="4" borderId="16" xfId="0" applyFont="1" applyFill="1" applyBorder="1" applyAlignment="1"/>
    <xf numFmtId="0" fontId="0" fillId="4" borderId="16" xfId="0" applyFill="1" applyBorder="1"/>
    <xf numFmtId="0" fontId="0" fillId="4" borderId="67" xfId="0" applyFill="1" applyBorder="1" applyAlignment="1">
      <alignment horizontal="left"/>
    </xf>
    <xf numFmtId="0" fontId="0" fillId="4" borderId="29" xfId="0" applyFill="1" applyBorder="1"/>
    <xf numFmtId="0" fontId="0" fillId="9" borderId="24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9" borderId="24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4" fillId="12" borderId="10" xfId="0" applyFont="1" applyFill="1" applyBorder="1"/>
    <xf numFmtId="0" fontId="4" fillId="9" borderId="1" xfId="0" applyFont="1" applyFill="1" applyBorder="1"/>
    <xf numFmtId="165" fontId="0" fillId="4" borderId="16" xfId="0" applyNumberFormat="1" applyFill="1" applyBorder="1" applyAlignment="1"/>
    <xf numFmtId="0" fontId="0" fillId="0" borderId="0" xfId="0" applyFill="1" applyBorder="1" applyAlignment="1">
      <alignment horizontal="center"/>
    </xf>
    <xf numFmtId="0" fontId="3" fillId="2" borderId="42" xfId="0" applyFont="1" applyFill="1" applyBorder="1"/>
    <xf numFmtId="0" fontId="3" fillId="0" borderId="0" xfId="0" applyFont="1"/>
    <xf numFmtId="165" fontId="0" fillId="0" borderId="0" xfId="0" applyNumberFormat="1" applyFill="1" applyBorder="1" applyAlignment="1"/>
    <xf numFmtId="0" fontId="19" fillId="0" borderId="0" xfId="3" applyFont="1" applyBorder="1" applyProtection="1"/>
    <xf numFmtId="0" fontId="4" fillId="2" borderId="42" xfId="0" applyFont="1" applyFill="1" applyBorder="1"/>
    <xf numFmtId="0" fontId="0" fillId="9" borderId="24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9" borderId="5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8" borderId="12" xfId="0" applyFill="1" applyBorder="1" applyAlignment="1">
      <alignment horizontal="left"/>
    </xf>
    <xf numFmtId="0" fontId="0" fillId="8" borderId="51" xfId="0" applyFill="1" applyBorder="1" applyAlignment="1">
      <alignment horizontal="left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left"/>
    </xf>
    <xf numFmtId="0" fontId="5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2" borderId="18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0" fillId="26" borderId="52" xfId="0" applyFill="1" applyBorder="1" applyAlignment="1">
      <alignment horizontal="center"/>
    </xf>
    <xf numFmtId="0" fontId="0" fillId="26" borderId="42" xfId="0" applyFill="1" applyBorder="1" applyAlignment="1">
      <alignment horizontal="center"/>
    </xf>
    <xf numFmtId="0" fontId="0" fillId="26" borderId="53" xfId="0" applyFill="1" applyBorder="1" applyAlignment="1">
      <alignment horizontal="center"/>
    </xf>
    <xf numFmtId="0" fontId="0" fillId="26" borderId="54" xfId="0" applyFill="1" applyBorder="1" applyAlignment="1">
      <alignment horizontal="center"/>
    </xf>
    <xf numFmtId="0" fontId="0" fillId="26" borderId="0" xfId="0" applyFill="1" applyBorder="1" applyAlignment="1">
      <alignment horizontal="center"/>
    </xf>
    <xf numFmtId="0" fontId="0" fillId="26" borderId="55" xfId="0" applyFill="1" applyBorder="1" applyAlignment="1">
      <alignment horizontal="center"/>
    </xf>
    <xf numFmtId="0" fontId="0" fillId="26" borderId="56" xfId="0" applyFill="1" applyBorder="1" applyAlignment="1">
      <alignment horizontal="center"/>
    </xf>
    <xf numFmtId="0" fontId="0" fillId="26" borderId="34" xfId="0" applyFill="1" applyBorder="1" applyAlignment="1">
      <alignment horizontal="center"/>
    </xf>
    <xf numFmtId="0" fontId="0" fillId="26" borderId="57" xfId="0" applyFill="1" applyBorder="1" applyAlignment="1">
      <alignment horizontal="center"/>
    </xf>
    <xf numFmtId="0" fontId="4" fillId="7" borderId="39" xfId="0" applyFont="1" applyFill="1" applyBorder="1" applyAlignment="1">
      <alignment horizontal="center"/>
    </xf>
    <xf numFmtId="0" fontId="4" fillId="7" borderId="30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0" fillId="8" borderId="19" xfId="0" applyFill="1" applyBorder="1" applyAlignment="1">
      <alignment horizontal="left"/>
    </xf>
    <xf numFmtId="0" fontId="0" fillId="8" borderId="21" xfId="0" applyFill="1" applyBorder="1" applyAlignment="1">
      <alignment horizontal="left"/>
    </xf>
    <xf numFmtId="0" fontId="0" fillId="7" borderId="24" xfId="0" applyFill="1" applyBorder="1" applyAlignment="1">
      <alignment horizontal="center"/>
    </xf>
    <xf numFmtId="0" fontId="0" fillId="7" borderId="51" xfId="0" applyFill="1" applyBorder="1" applyAlignment="1">
      <alignment horizontal="center"/>
    </xf>
    <xf numFmtId="0" fontId="0" fillId="3" borderId="8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0" fillId="4" borderId="10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4" borderId="11" xfId="0" applyFill="1" applyBorder="1" applyAlignment="1">
      <alignment horizontal="center" wrapText="1"/>
    </xf>
    <xf numFmtId="0" fontId="4" fillId="4" borderId="10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0" fillId="4" borderId="11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4" fillId="4" borderId="12" xfId="0" applyFont="1" applyFill="1" applyBorder="1" applyAlignment="1">
      <alignment horizontal="center"/>
    </xf>
    <xf numFmtId="0" fontId="0" fillId="4" borderId="11" xfId="0" applyFill="1" applyBorder="1" applyAlignment="1"/>
    <xf numFmtId="0" fontId="0" fillId="4" borderId="12" xfId="0" applyFill="1" applyBorder="1" applyAlignment="1"/>
    <xf numFmtId="0" fontId="0" fillId="4" borderId="10" xfId="0" applyFill="1" applyBorder="1" applyAlignment="1"/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4" fillId="4" borderId="4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10" xfId="0" applyFont="1" applyFill="1" applyBorder="1" applyAlignment="1">
      <alignment horizontal="center"/>
    </xf>
    <xf numFmtId="0" fontId="0" fillId="4" borderId="12" xfId="0" applyFill="1" applyBorder="1" applyAlignment="1">
      <alignment horizontal="left"/>
    </xf>
    <xf numFmtId="0" fontId="0" fillId="2" borderId="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4" borderId="12" xfId="0" applyFill="1" applyBorder="1" applyAlignment="1">
      <alignment horizontal="center"/>
    </xf>
    <xf numFmtId="0" fontId="4" fillId="7" borderId="11" xfId="0" applyFont="1" applyFill="1" applyBorder="1" applyAlignment="1">
      <alignment horizontal="left"/>
    </xf>
    <xf numFmtId="0" fontId="4" fillId="7" borderId="12" xfId="0" applyFont="1" applyFill="1" applyBorder="1" applyAlignment="1">
      <alignment horizontal="left"/>
    </xf>
    <xf numFmtId="0" fontId="4" fillId="7" borderId="10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9" borderId="24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13" borderId="39" xfId="0" applyFill="1" applyBorder="1" applyAlignment="1"/>
    <xf numFmtId="0" fontId="0" fillId="13" borderId="30" xfId="0" applyFill="1" applyBorder="1" applyAlignment="1"/>
    <xf numFmtId="0" fontId="0" fillId="13" borderId="31" xfId="0" applyFill="1" applyBorder="1" applyAlignment="1"/>
    <xf numFmtId="0" fontId="0" fillId="16" borderId="39" xfId="0" applyFill="1" applyBorder="1" applyAlignment="1"/>
    <xf numFmtId="0" fontId="0" fillId="16" borderId="30" xfId="0" applyFill="1" applyBorder="1" applyAlignment="1"/>
    <xf numFmtId="0" fontId="0" fillId="16" borderId="31" xfId="0" applyFill="1" applyBorder="1" applyAlignment="1"/>
    <xf numFmtId="0" fontId="2" fillId="9" borderId="24" xfId="0" applyFont="1" applyFill="1" applyBorder="1" applyAlignment="1">
      <alignment horizontal="center"/>
    </xf>
    <xf numFmtId="0" fontId="2" fillId="9" borderId="12" xfId="0" applyFont="1" applyFill="1" applyBorder="1" applyAlignment="1">
      <alignment horizontal="center"/>
    </xf>
    <xf numFmtId="0" fontId="2" fillId="9" borderId="10" xfId="0" applyFont="1" applyFill="1" applyBorder="1" applyAlignment="1">
      <alignment horizontal="center"/>
    </xf>
    <xf numFmtId="0" fontId="0" fillId="9" borderId="44" xfId="0" applyFill="1" applyBorder="1" applyAlignment="1">
      <alignment horizontal="center"/>
    </xf>
    <xf numFmtId="0" fontId="0" fillId="9" borderId="25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54" fillId="9" borderId="24" xfId="0" applyFont="1" applyFill="1" applyBorder="1" applyAlignment="1">
      <alignment horizontal="center"/>
    </xf>
    <xf numFmtId="0" fontId="54" fillId="9" borderId="12" xfId="0" applyFont="1" applyFill="1" applyBorder="1" applyAlignment="1">
      <alignment horizontal="center"/>
    </xf>
    <xf numFmtId="0" fontId="54" fillId="9" borderId="10" xfId="0" applyFont="1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13" fillId="8" borderId="11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13" fillId="8" borderId="10" xfId="0" applyFont="1" applyFill="1" applyBorder="1" applyAlignment="1">
      <alignment horizontal="center"/>
    </xf>
    <xf numFmtId="0" fontId="0" fillId="9" borderId="24" xfId="0" applyFill="1" applyBorder="1" applyAlignment="1"/>
    <xf numFmtId="0" fontId="0" fillId="9" borderId="12" xfId="0" applyFill="1" applyBorder="1" applyAlignment="1"/>
    <xf numFmtId="0" fontId="0" fillId="9" borderId="10" xfId="0" applyFill="1" applyBorder="1" applyAlignment="1"/>
    <xf numFmtId="0" fontId="0" fillId="9" borderId="44" xfId="0" applyFill="1" applyBorder="1" applyAlignment="1"/>
    <xf numFmtId="0" fontId="0" fillId="9" borderId="25" xfId="0" applyFill="1" applyBorder="1" applyAlignment="1"/>
    <xf numFmtId="0" fontId="0" fillId="9" borderId="27" xfId="0" applyFill="1" applyBorder="1" applyAlignment="1"/>
    <xf numFmtId="0" fontId="0" fillId="9" borderId="18" xfId="0" applyFill="1" applyBorder="1" applyAlignment="1"/>
    <xf numFmtId="0" fontId="0" fillId="9" borderId="19" xfId="0" applyFill="1" applyBorder="1" applyAlignment="1"/>
    <xf numFmtId="0" fontId="0" fillId="9" borderId="20" xfId="0" applyFill="1" applyBorder="1" applyAlignment="1"/>
    <xf numFmtId="0" fontId="4" fillId="9" borderId="44" xfId="0" applyFont="1" applyFill="1" applyBorder="1" applyAlignment="1">
      <alignment horizontal="center"/>
    </xf>
    <xf numFmtId="0" fontId="4" fillId="9" borderId="25" xfId="0" applyFont="1" applyFill="1" applyBorder="1" applyAlignment="1">
      <alignment horizontal="center"/>
    </xf>
    <xf numFmtId="0" fontId="4" fillId="9" borderId="27" xfId="0" applyFont="1" applyFill="1" applyBorder="1" applyAlignment="1">
      <alignment horizontal="center"/>
    </xf>
    <xf numFmtId="0" fontId="4" fillId="9" borderId="18" xfId="0" applyFont="1" applyFill="1" applyBorder="1" applyAlignment="1"/>
    <xf numFmtId="0" fontId="4" fillId="9" borderId="19" xfId="0" applyFont="1" applyFill="1" applyBorder="1" applyAlignment="1"/>
    <xf numFmtId="0" fontId="4" fillId="9" borderId="20" xfId="0" applyFont="1" applyFill="1" applyBorder="1" applyAlignment="1"/>
    <xf numFmtId="0" fontId="4" fillId="9" borderId="24" xfId="0" applyFont="1" applyFill="1" applyBorder="1" applyAlignment="1"/>
    <xf numFmtId="0" fontId="4" fillId="9" borderId="12" xfId="0" applyFont="1" applyFill="1" applyBorder="1" applyAlignment="1"/>
    <xf numFmtId="0" fontId="4" fillId="9" borderId="10" xfId="0" applyFont="1" applyFill="1" applyBorder="1" applyAlignment="1"/>
    <xf numFmtId="0" fontId="2" fillId="9" borderId="24" xfId="0" applyFont="1" applyFill="1" applyBorder="1" applyAlignment="1"/>
    <xf numFmtId="0" fontId="2" fillId="9" borderId="12" xfId="0" applyFont="1" applyFill="1" applyBorder="1" applyAlignment="1"/>
    <xf numFmtId="0" fontId="2" fillId="9" borderId="10" xfId="0" applyFont="1" applyFill="1" applyBorder="1" applyAlignment="1"/>
    <xf numFmtId="0" fontId="4" fillId="7" borderId="2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12" borderId="18" xfId="0" applyFont="1" applyFill="1" applyBorder="1" applyAlignment="1">
      <alignment horizontal="center"/>
    </xf>
    <xf numFmtId="0" fontId="4" fillId="12" borderId="19" xfId="0" applyFont="1" applyFill="1" applyBorder="1" applyAlignment="1">
      <alignment horizontal="center"/>
    </xf>
    <xf numFmtId="0" fontId="4" fillId="12" borderId="21" xfId="0" applyFont="1" applyFill="1" applyBorder="1" applyAlignment="1">
      <alignment horizontal="center"/>
    </xf>
    <xf numFmtId="0" fontId="4" fillId="11" borderId="18" xfId="0" applyFont="1" applyFill="1" applyBorder="1" applyAlignment="1">
      <alignment horizontal="center"/>
    </xf>
    <xf numFmtId="0" fontId="4" fillId="11" borderId="19" xfId="0" applyFont="1" applyFill="1" applyBorder="1" applyAlignment="1">
      <alignment horizontal="center"/>
    </xf>
    <xf numFmtId="0" fontId="4" fillId="11" borderId="21" xfId="0" applyFont="1" applyFill="1" applyBorder="1" applyAlignment="1">
      <alignment horizontal="center"/>
    </xf>
    <xf numFmtId="0" fontId="4" fillId="10" borderId="18" xfId="0" applyFont="1" applyFill="1" applyBorder="1" applyAlignment="1">
      <alignment horizontal="center"/>
    </xf>
    <xf numFmtId="0" fontId="4" fillId="10" borderId="19" xfId="0" applyFont="1" applyFill="1" applyBorder="1" applyAlignment="1">
      <alignment horizontal="center"/>
    </xf>
    <xf numFmtId="0" fontId="4" fillId="9" borderId="44" xfId="0" applyFont="1" applyFill="1" applyBorder="1" applyAlignment="1"/>
    <xf numFmtId="0" fontId="4" fillId="9" borderId="25" xfId="0" applyFont="1" applyFill="1" applyBorder="1" applyAlignment="1"/>
    <xf numFmtId="0" fontId="4" fillId="9" borderId="27" xfId="0" applyFont="1" applyFill="1" applyBorder="1" applyAlignment="1"/>
    <xf numFmtId="0" fontId="13" fillId="8" borderId="22" xfId="0" applyFont="1" applyFill="1" applyBorder="1" applyAlignment="1">
      <alignment horizontal="center"/>
    </xf>
    <xf numFmtId="0" fontId="13" fillId="8" borderId="19" xfId="0" applyFont="1" applyFill="1" applyBorder="1" applyAlignment="1">
      <alignment horizontal="center"/>
    </xf>
    <xf numFmtId="0" fontId="13" fillId="8" borderId="20" xfId="0" applyFont="1" applyFill="1" applyBorder="1" applyAlignment="1">
      <alignment horizontal="center"/>
    </xf>
    <xf numFmtId="0" fontId="54" fillId="0" borderId="12" xfId="0" applyFont="1" applyBorder="1" applyAlignment="1">
      <alignment horizontal="center"/>
    </xf>
    <xf numFmtId="0" fontId="54" fillId="0" borderId="10" xfId="0" applyFont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7" borderId="30" xfId="0" applyFill="1" applyBorder="1" applyAlignment="1">
      <alignment horizontal="center"/>
    </xf>
    <xf numFmtId="0" fontId="0" fillId="7" borderId="40" xfId="0" applyFill="1" applyBorder="1" applyAlignment="1">
      <alignment horizontal="center"/>
    </xf>
    <xf numFmtId="0" fontId="0" fillId="4" borderId="60" xfId="0" applyFill="1" applyBorder="1" applyAlignment="1">
      <alignment horizontal="left"/>
    </xf>
    <xf numFmtId="0" fontId="0" fillId="4" borderId="15" xfId="0" applyFill="1" applyBorder="1" applyAlignment="1">
      <alignment horizontal="left"/>
    </xf>
    <xf numFmtId="0" fontId="0" fillId="4" borderId="26" xfId="0" applyFill="1" applyBorder="1" applyAlignment="1">
      <alignment horizontal="left"/>
    </xf>
    <xf numFmtId="0" fontId="0" fillId="9" borderId="60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9" borderId="26" xfId="0" applyFill="1" applyBorder="1" applyAlignment="1">
      <alignment horizontal="center"/>
    </xf>
    <xf numFmtId="0" fontId="0" fillId="4" borderId="23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4" borderId="24" xfId="0" applyFill="1" applyBorder="1" applyAlignment="1">
      <alignment horizontal="left"/>
    </xf>
    <xf numFmtId="0" fontId="0" fillId="4" borderId="51" xfId="0" applyFill="1" applyBorder="1" applyAlignment="1">
      <alignment horizontal="left"/>
    </xf>
    <xf numFmtId="0" fontId="0" fillId="9" borderId="23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0" fillId="9" borderId="51" xfId="0" applyFill="1" applyBorder="1" applyAlignment="1">
      <alignment horizontal="center"/>
    </xf>
    <xf numFmtId="0" fontId="0" fillId="4" borderId="50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4" borderId="46" xfId="0" applyFill="1" applyBorder="1" applyAlignment="1">
      <alignment horizontal="left"/>
    </xf>
    <xf numFmtId="0" fontId="0" fillId="9" borderId="50" xfId="0" applyFill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9" borderId="46" xfId="0" applyFill="1" applyBorder="1" applyAlignment="1">
      <alignment horizontal="center"/>
    </xf>
    <xf numFmtId="0" fontId="0" fillId="15" borderId="39" xfId="0" applyFill="1" applyBorder="1" applyAlignment="1">
      <alignment horizontal="right"/>
    </xf>
    <xf numFmtId="0" fontId="0" fillId="15" borderId="30" xfId="0" applyFill="1" applyBorder="1" applyAlignment="1">
      <alignment horizontal="right"/>
    </xf>
    <xf numFmtId="0" fontId="0" fillId="15" borderId="40" xfId="0" applyFill="1" applyBorder="1" applyAlignment="1">
      <alignment horizontal="right"/>
    </xf>
    <xf numFmtId="0" fontId="0" fillId="15" borderId="39" xfId="0" applyFill="1" applyBorder="1" applyAlignment="1">
      <alignment horizontal="center"/>
    </xf>
    <xf numFmtId="0" fontId="0" fillId="15" borderId="30" xfId="0" applyFill="1" applyBorder="1" applyAlignment="1">
      <alignment horizontal="center"/>
    </xf>
    <xf numFmtId="0" fontId="0" fillId="15" borderId="40" xfId="0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165" fontId="12" fillId="8" borderId="30" xfId="0" applyNumberFormat="1" applyFont="1" applyFill="1" applyBorder="1" applyAlignment="1">
      <alignment horizontal="right"/>
    </xf>
    <xf numFmtId="0" fontId="12" fillId="8" borderId="40" xfId="0" applyFont="1" applyFill="1" applyBorder="1" applyAlignment="1">
      <alignment horizontal="right"/>
    </xf>
    <xf numFmtId="0" fontId="0" fillId="4" borderId="39" xfId="0" applyFill="1" applyBorder="1" applyAlignment="1">
      <alignment horizontal="right"/>
    </xf>
    <xf numFmtId="0" fontId="0" fillId="4" borderId="30" xfId="0" applyFill="1" applyBorder="1" applyAlignment="1">
      <alignment horizontal="right"/>
    </xf>
    <xf numFmtId="0" fontId="0" fillId="4" borderId="18" xfId="0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0" fillId="4" borderId="21" xfId="0" applyFill="1" applyBorder="1" applyAlignment="1">
      <alignment horizontal="left"/>
    </xf>
    <xf numFmtId="0" fontId="4" fillId="2" borderId="39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0" fillId="4" borderId="59" xfId="0" applyFill="1" applyBorder="1" applyAlignment="1">
      <alignment horizontal="left"/>
    </xf>
    <xf numFmtId="0" fontId="0" fillId="7" borderId="68" xfId="0" applyFill="1" applyBorder="1" applyAlignment="1">
      <alignment horizontal="center" vertical="center"/>
    </xf>
    <xf numFmtId="0" fontId="0" fillId="7" borderId="69" xfId="0" applyFill="1" applyBorder="1" applyAlignment="1">
      <alignment horizontal="center" vertical="center"/>
    </xf>
    <xf numFmtId="0" fontId="0" fillId="7" borderId="52" xfId="0" applyFill="1" applyBorder="1" applyAlignment="1">
      <alignment horizontal="center" vertical="center"/>
    </xf>
    <xf numFmtId="0" fontId="0" fillId="7" borderId="42" xfId="0" applyFill="1" applyBorder="1" applyAlignment="1">
      <alignment horizontal="center" vertical="center"/>
    </xf>
    <xf numFmtId="0" fontId="0" fillId="7" borderId="53" xfId="0" applyFill="1" applyBorder="1" applyAlignment="1">
      <alignment horizontal="center" vertical="center"/>
    </xf>
    <xf numFmtId="0" fontId="0" fillId="7" borderId="56" xfId="0" applyFill="1" applyBorder="1" applyAlignment="1">
      <alignment horizontal="center" vertical="center"/>
    </xf>
    <xf numFmtId="0" fontId="0" fillId="7" borderId="34" xfId="0" applyFill="1" applyBorder="1" applyAlignment="1">
      <alignment horizontal="center" vertical="center"/>
    </xf>
    <xf numFmtId="0" fontId="0" fillId="7" borderId="57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52" xfId="0" applyFill="1" applyBorder="1" applyAlignment="1">
      <alignment horizontal="left" vertical="top" wrapText="1"/>
    </xf>
    <xf numFmtId="0" fontId="0" fillId="4" borderId="42" xfId="0" applyFill="1" applyBorder="1" applyAlignment="1">
      <alignment horizontal="left" vertical="top" wrapText="1"/>
    </xf>
    <xf numFmtId="0" fontId="0" fillId="4" borderId="53" xfId="0" applyFill="1" applyBorder="1" applyAlignment="1">
      <alignment horizontal="left" vertical="top" wrapText="1"/>
    </xf>
    <xf numFmtId="0" fontId="0" fillId="4" borderId="54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0" fillId="4" borderId="55" xfId="0" applyFill="1" applyBorder="1" applyAlignment="1">
      <alignment horizontal="left" vertical="top" wrapText="1"/>
    </xf>
    <xf numFmtId="0" fontId="0" fillId="4" borderId="52" xfId="0" applyFill="1" applyBorder="1" applyAlignment="1">
      <alignment horizontal="left" vertical="top"/>
    </xf>
    <xf numFmtId="0" fontId="0" fillId="4" borderId="42" xfId="0" applyFill="1" applyBorder="1" applyAlignment="1">
      <alignment horizontal="left" vertical="top"/>
    </xf>
    <xf numFmtId="0" fontId="0" fillId="4" borderId="53" xfId="0" applyFill="1" applyBorder="1" applyAlignment="1">
      <alignment horizontal="left" vertical="top"/>
    </xf>
    <xf numFmtId="0" fontId="0" fillId="4" borderId="54" xfId="0" applyFill="1" applyBorder="1" applyAlignment="1">
      <alignment horizontal="left" vertical="top"/>
    </xf>
    <xf numFmtId="0" fontId="0" fillId="4" borderId="0" xfId="0" applyFill="1" applyBorder="1" applyAlignment="1">
      <alignment horizontal="left" vertical="top"/>
    </xf>
    <xf numFmtId="0" fontId="0" fillId="4" borderId="55" xfId="0" applyFill="1" applyBorder="1" applyAlignment="1">
      <alignment horizontal="left" vertical="top"/>
    </xf>
    <xf numFmtId="0" fontId="0" fillId="4" borderId="56" xfId="0" applyFill="1" applyBorder="1" applyAlignment="1">
      <alignment horizontal="left" vertical="top"/>
    </xf>
    <xf numFmtId="0" fontId="0" fillId="4" borderId="34" xfId="0" applyFill="1" applyBorder="1" applyAlignment="1">
      <alignment horizontal="left" vertical="top"/>
    </xf>
    <xf numFmtId="0" fontId="0" fillId="4" borderId="57" xfId="0" applyFill="1" applyBorder="1" applyAlignment="1">
      <alignment horizontal="left" vertical="top"/>
    </xf>
    <xf numFmtId="0" fontId="3" fillId="2" borderId="3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0" fontId="0" fillId="4" borderId="42" xfId="0" applyFill="1" applyBorder="1" applyAlignment="1">
      <alignment horizontal="center"/>
    </xf>
    <xf numFmtId="0" fontId="0" fillId="4" borderId="53" xfId="0" applyFill="1" applyBorder="1" applyAlignment="1">
      <alignment horizontal="center"/>
    </xf>
    <xf numFmtId="0" fontId="0" fillId="4" borderId="58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59" xfId="0" applyFill="1" applyBorder="1" applyAlignment="1">
      <alignment horizontal="center"/>
    </xf>
    <xf numFmtId="0" fontId="0" fillId="4" borderId="6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68" xfId="0" applyFill="1" applyBorder="1" applyAlignment="1">
      <alignment horizontal="center"/>
    </xf>
    <xf numFmtId="0" fontId="0" fillId="4" borderId="5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5" xfId="0" applyFill="1" applyBorder="1" applyAlignment="1">
      <alignment horizontal="center"/>
    </xf>
    <xf numFmtId="0" fontId="0" fillId="4" borderId="56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5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56" xfId="0" applyFill="1" applyBorder="1" applyAlignment="1">
      <alignment horizontal="left" vertical="top" wrapText="1"/>
    </xf>
    <xf numFmtId="0" fontId="0" fillId="4" borderId="34" xfId="0" applyFill="1" applyBorder="1" applyAlignment="1">
      <alignment horizontal="left" vertical="top" wrapText="1"/>
    </xf>
    <xf numFmtId="0" fontId="0" fillId="4" borderId="57" xfId="0" applyFill="1" applyBorder="1" applyAlignment="1">
      <alignment horizontal="left" vertical="top" wrapText="1"/>
    </xf>
    <xf numFmtId="0" fontId="0" fillId="4" borderId="48" xfId="0" applyFill="1" applyBorder="1" applyAlignment="1">
      <alignment horizontal="center"/>
    </xf>
    <xf numFmtId="0" fontId="0" fillId="4" borderId="66" xfId="0" applyFill="1" applyBorder="1" applyAlignment="1">
      <alignment horizontal="center"/>
    </xf>
    <xf numFmtId="0" fontId="0" fillId="4" borderId="60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0" fillId="4" borderId="4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73" xfId="0" applyFill="1" applyBorder="1" applyAlignment="1">
      <alignment horizontal="center"/>
    </xf>
    <xf numFmtId="0" fontId="0" fillId="4" borderId="68" xfId="0" applyFill="1" applyBorder="1" applyAlignment="1">
      <alignment vertical="center"/>
    </xf>
    <xf numFmtId="0" fontId="0" fillId="4" borderId="70" xfId="0" applyFill="1" applyBorder="1" applyAlignment="1">
      <alignment vertical="center"/>
    </xf>
    <xf numFmtId="0" fontId="0" fillId="4" borderId="24" xfId="0" applyFill="1" applyBorder="1" applyAlignment="1">
      <alignment horizontal="left" vertical="top"/>
    </xf>
    <xf numFmtId="0" fontId="0" fillId="4" borderId="12" xfId="0" applyFill="1" applyBorder="1" applyAlignment="1">
      <alignment horizontal="left" vertical="top"/>
    </xf>
    <xf numFmtId="0" fontId="0" fillId="4" borderId="51" xfId="0" applyFill="1" applyBorder="1" applyAlignment="1">
      <alignment horizontal="left" vertical="top"/>
    </xf>
    <xf numFmtId="0" fontId="0" fillId="4" borderId="52" xfId="0" applyFill="1" applyBorder="1" applyAlignment="1">
      <alignment horizontal="center" vertical="top" wrapText="1"/>
    </xf>
    <xf numFmtId="0" fontId="0" fillId="4" borderId="42" xfId="0" applyFill="1" applyBorder="1" applyAlignment="1">
      <alignment horizontal="center" vertical="top" wrapText="1"/>
    </xf>
    <xf numFmtId="0" fontId="0" fillId="4" borderId="53" xfId="0" applyFill="1" applyBorder="1" applyAlignment="1">
      <alignment horizontal="center" vertical="top" wrapText="1"/>
    </xf>
    <xf numFmtId="0" fontId="0" fillId="4" borderId="71" xfId="0" applyFill="1" applyBorder="1" applyAlignment="1">
      <alignment horizontal="center" vertical="top" wrapText="1"/>
    </xf>
    <xf numFmtId="0" fontId="0" fillId="4" borderId="8" xfId="0" applyFill="1" applyBorder="1" applyAlignment="1">
      <alignment horizontal="center" vertical="top" wrapText="1"/>
    </xf>
    <xf numFmtId="0" fontId="0" fillId="4" borderId="72" xfId="0" applyFill="1" applyBorder="1" applyAlignment="1">
      <alignment horizontal="center" vertical="top" wrapText="1"/>
    </xf>
    <xf numFmtId="0" fontId="0" fillId="4" borderId="7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72" xfId="0" applyFill="1" applyBorder="1" applyAlignment="1">
      <alignment horizontal="center"/>
    </xf>
    <xf numFmtId="0" fontId="0" fillId="4" borderId="39" xfId="0" applyFill="1" applyBorder="1" applyAlignment="1">
      <alignment horizontal="left" vertical="top"/>
    </xf>
    <xf numFmtId="0" fontId="0" fillId="4" borderId="30" xfId="0" applyFill="1" applyBorder="1" applyAlignment="1">
      <alignment horizontal="left" vertical="top"/>
    </xf>
    <xf numFmtId="0" fontId="0" fillId="4" borderId="40" xfId="0" applyFill="1" applyBorder="1" applyAlignment="1">
      <alignment horizontal="left" vertical="top"/>
    </xf>
    <xf numFmtId="0" fontId="0" fillId="4" borderId="39" xfId="0" applyFill="1" applyBorder="1" applyAlignment="1">
      <alignment horizontal="center" vertical="top"/>
    </xf>
    <xf numFmtId="0" fontId="0" fillId="4" borderId="30" xfId="0" applyFill="1" applyBorder="1" applyAlignment="1">
      <alignment horizontal="center" vertical="top"/>
    </xf>
    <xf numFmtId="0" fontId="0" fillId="4" borderId="40" xfId="0" applyFill="1" applyBorder="1" applyAlignment="1">
      <alignment horizontal="center" vertical="top"/>
    </xf>
    <xf numFmtId="14" fontId="27" fillId="0" borderId="8" xfId="3" applyNumberFormat="1" applyFont="1" applyBorder="1" applyAlignment="1" applyProtection="1">
      <alignment horizontal="center"/>
      <protection locked="0"/>
    </xf>
    <xf numFmtId="0" fontId="38" fillId="0" borderId="3" xfId="3" applyFont="1" applyBorder="1" applyAlignment="1">
      <alignment horizontal="center"/>
    </xf>
    <xf numFmtId="4" fontId="27" fillId="0" borderId="0" xfId="3" applyNumberFormat="1" applyFont="1" applyAlignment="1" applyProtection="1">
      <alignment horizontal="center" wrapText="1"/>
    </xf>
    <xf numFmtId="2" fontId="15" fillId="0" borderId="0" xfId="3" applyNumberFormat="1" applyAlignment="1">
      <alignment horizontal="center"/>
    </xf>
    <xf numFmtId="2" fontId="27" fillId="0" borderId="0" xfId="3" quotePrefix="1" applyNumberFormat="1" applyFont="1" applyAlignment="1" applyProtection="1">
      <alignment horizontal="center"/>
      <protection locked="0"/>
    </xf>
    <xf numFmtId="2" fontId="27" fillId="0" borderId="0" xfId="3" quotePrefix="1" applyNumberFormat="1" applyFont="1" applyBorder="1" applyAlignment="1" applyProtection="1">
      <alignment horizontal="center"/>
      <protection locked="0"/>
    </xf>
    <xf numFmtId="2" fontId="15" fillId="0" borderId="0" xfId="3" applyNumberFormat="1" applyFill="1" applyBorder="1" applyAlignment="1">
      <alignment horizontal="center"/>
    </xf>
    <xf numFmtId="170" fontId="15" fillId="0" borderId="0" xfId="3" applyNumberFormat="1" applyFill="1" applyBorder="1" applyAlignment="1">
      <alignment horizontal="center"/>
    </xf>
    <xf numFmtId="2" fontId="23" fillId="0" borderId="0" xfId="3" applyNumberFormat="1" applyFont="1" applyAlignment="1">
      <alignment horizontal="center" wrapText="1"/>
    </xf>
    <xf numFmtId="2" fontId="15" fillId="0" borderId="0" xfId="3" applyNumberFormat="1" applyBorder="1" applyAlignment="1">
      <alignment horizontal="center"/>
    </xf>
    <xf numFmtId="0" fontId="15" fillId="0" borderId="0" xfId="3" applyFill="1" applyAlignment="1">
      <alignment horizontal="center"/>
    </xf>
    <xf numFmtId="0" fontId="50" fillId="0" borderId="11" xfId="3" applyFont="1" applyBorder="1" applyAlignment="1">
      <alignment horizontal="center"/>
    </xf>
    <xf numFmtId="0" fontId="50" fillId="0" borderId="12" xfId="3" applyFont="1" applyBorder="1" applyAlignment="1">
      <alignment horizontal="center"/>
    </xf>
    <xf numFmtId="0" fontId="50" fillId="0" borderId="10" xfId="3" applyFont="1" applyBorder="1" applyAlignment="1">
      <alignment horizontal="center"/>
    </xf>
    <xf numFmtId="14" fontId="47" fillId="0" borderId="8" xfId="3" applyNumberFormat="1" applyFont="1" applyBorder="1" applyAlignment="1">
      <alignment horizontal="center"/>
    </xf>
    <xf numFmtId="2" fontId="47" fillId="0" borderId="3" xfId="3" applyNumberFormat="1" applyFont="1" applyBorder="1" applyAlignment="1">
      <alignment horizontal="center"/>
    </xf>
    <xf numFmtId="0" fontId="15" fillId="0" borderId="0" xfId="3" applyAlignment="1">
      <alignment horizontal="center"/>
    </xf>
    <xf numFmtId="0" fontId="15" fillId="0" borderId="0" xfId="3" applyFill="1" applyAlignment="1">
      <alignment horizontal="center" wrapText="1"/>
    </xf>
  </cellXfs>
  <cellStyles count="4">
    <cellStyle name="Moeda" xfId="1" builtinId="4"/>
    <cellStyle name="Normal" xfId="0" builtinId="0"/>
    <cellStyle name="Normal 2" xfId="3"/>
    <cellStyle name="Porcentagem" xfId="2" builtinId="5"/>
  </cellStyles>
  <dxfs count="41">
    <dxf>
      <font>
        <color theme="9" tint="-0.24994659260841701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theme="9" tint="-0.24994659260841701"/>
      </font>
    </dxf>
    <dxf>
      <font>
        <color rgb="FF00B050"/>
      </font>
    </dxf>
    <dxf>
      <font>
        <color theme="9" tint="-0.24994659260841701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theme="9" tint="-0.24994659260841701"/>
      </font>
    </dxf>
    <dxf>
      <font>
        <color rgb="FF00B050"/>
      </font>
    </dxf>
    <dxf>
      <font>
        <color rgb="FFFF0000"/>
      </font>
    </dxf>
    <dxf>
      <font>
        <color theme="9" tint="-0.24994659260841701"/>
      </font>
    </dxf>
    <dxf>
      <font>
        <color rgb="FF00B050"/>
      </font>
    </dxf>
    <dxf>
      <font>
        <color rgb="FF00B050"/>
      </font>
    </dxf>
    <dxf>
      <font>
        <color theme="9" tint="-0.24994659260841701"/>
      </font>
    </dxf>
    <dxf>
      <font>
        <b val="0"/>
        <i val="0"/>
        <color rgb="FFFF0000"/>
      </font>
    </dxf>
    <dxf>
      <font>
        <color rgb="FFFF0000"/>
      </font>
    </dxf>
    <dxf>
      <font>
        <color theme="9" tint="-0.24994659260841701"/>
      </font>
    </dxf>
    <dxf>
      <font>
        <color rgb="FF00B050"/>
      </font>
    </dxf>
    <dxf>
      <font>
        <color rgb="FF00B050"/>
      </font>
    </dxf>
    <dxf>
      <font>
        <color theme="9" tint="-0.24994659260841701"/>
      </font>
    </dxf>
    <dxf>
      <font>
        <b val="0"/>
        <i val="0"/>
        <color rgb="FFFF0000"/>
      </font>
    </dxf>
    <dxf>
      <font>
        <color rgb="FFFF0000"/>
      </font>
    </dxf>
    <dxf>
      <font>
        <color theme="9" tint="-0.24994659260841701"/>
      </font>
    </dxf>
    <dxf>
      <font>
        <color rgb="FF00B050"/>
      </font>
    </dxf>
    <dxf>
      <font>
        <color rgb="FF00B050"/>
      </font>
    </dxf>
    <dxf>
      <font>
        <color theme="9" tint="-0.24994659260841701"/>
      </font>
    </dxf>
    <dxf>
      <font>
        <b val="0"/>
        <i val="0"/>
        <color rgb="FFFF0000"/>
      </font>
    </dxf>
    <dxf>
      <font>
        <color rgb="FFFF0000"/>
      </font>
    </dxf>
    <dxf>
      <font>
        <color theme="9" tint="-0.24994659260841701"/>
      </font>
    </dxf>
    <dxf>
      <font>
        <color rgb="FF00B050"/>
      </font>
    </dxf>
    <dxf>
      <font>
        <color rgb="FF00B050"/>
      </font>
    </dxf>
    <dxf>
      <font>
        <color theme="9" tint="-0.24994659260841701"/>
      </font>
    </dxf>
    <dxf>
      <font>
        <b val="0"/>
        <i val="0"/>
        <color rgb="FFFF0000"/>
      </font>
    </dxf>
    <dxf>
      <font>
        <color rgb="FF00B050"/>
      </font>
    </dxf>
    <dxf>
      <font>
        <color rgb="FFFF0000"/>
      </font>
    </dxf>
    <dxf>
      <font>
        <color theme="9" tint="-0.24994659260841701"/>
      </font>
    </dxf>
    <dxf>
      <font>
        <color rgb="FF00B050"/>
      </font>
    </dxf>
  </dxfs>
  <tableStyles count="0" defaultTableStyle="TableStyleMedium9" defaultPivotStyle="PivotStyleLight16"/>
  <colors>
    <mruColors>
      <color rgb="FFF6903C"/>
      <color rgb="FFC4D79D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49823</xdr:colOff>
      <xdr:row>4</xdr:row>
      <xdr:rowOff>30773</xdr:rowOff>
    </xdr:from>
    <xdr:to>
      <xdr:col>10</xdr:col>
      <xdr:colOff>784240</xdr:colOff>
      <xdr:row>6</xdr:row>
      <xdr:rowOff>173648</xdr:rowOff>
    </xdr:to>
    <xdr:pic>
      <xdr:nvPicPr>
        <xdr:cNvPr id="3" name="Imagem 2" descr="plantapronta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35873" y="802298"/>
          <a:ext cx="1953617" cy="523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3</xdr:row>
      <xdr:rowOff>76200</xdr:rowOff>
    </xdr:from>
    <xdr:to>
      <xdr:col>5</xdr:col>
      <xdr:colOff>77192</xdr:colOff>
      <xdr:row>5</xdr:row>
      <xdr:rowOff>114300</xdr:rowOff>
    </xdr:to>
    <xdr:pic>
      <xdr:nvPicPr>
        <xdr:cNvPr id="3" name="Imagem 2" descr="plantapronta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57300" y="657225"/>
          <a:ext cx="1953617" cy="5238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5</xdr:row>
      <xdr:rowOff>38100</xdr:rowOff>
    </xdr:from>
    <xdr:to>
      <xdr:col>3</xdr:col>
      <xdr:colOff>609600</xdr:colOff>
      <xdr:row>7</xdr:row>
      <xdr:rowOff>38100</xdr:rowOff>
    </xdr:to>
    <xdr:pic>
      <xdr:nvPicPr>
        <xdr:cNvPr id="2" name="Figura 2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200025"/>
          <a:ext cx="1314450" cy="3238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 fLocksWithSheet="0"/>
  </xdr:twoCellAnchor>
  <xdr:twoCellAnchor>
    <xdr:from>
      <xdr:col>7</xdr:col>
      <xdr:colOff>9525</xdr:colOff>
      <xdr:row>5</xdr:row>
      <xdr:rowOff>0</xdr:rowOff>
    </xdr:from>
    <xdr:to>
      <xdr:col>7</xdr:col>
      <xdr:colOff>9525</xdr:colOff>
      <xdr:row>7</xdr:row>
      <xdr:rowOff>0</xdr:rowOff>
    </xdr:to>
    <xdr:sp macro="" textlink="">
      <xdr:nvSpPr>
        <xdr:cNvPr id="3" name="Line 27"/>
        <xdr:cNvSpPr>
          <a:spLocks noChangeShapeType="1"/>
        </xdr:cNvSpPr>
      </xdr:nvSpPr>
      <xdr:spPr bwMode="auto">
        <a:xfrm>
          <a:off x="3810000" y="161925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7</xdr:row>
      <xdr:rowOff>0</xdr:rowOff>
    </xdr:from>
    <xdr:to>
      <xdr:col>8</xdr:col>
      <xdr:colOff>685800</xdr:colOff>
      <xdr:row>7</xdr:row>
      <xdr:rowOff>0</xdr:rowOff>
    </xdr:to>
    <xdr:sp macro="" textlink="">
      <xdr:nvSpPr>
        <xdr:cNvPr id="4" name="Line 28"/>
        <xdr:cNvSpPr>
          <a:spLocks noChangeShapeType="1"/>
        </xdr:cNvSpPr>
      </xdr:nvSpPr>
      <xdr:spPr bwMode="auto">
        <a:xfrm>
          <a:off x="3810000" y="485775"/>
          <a:ext cx="1314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685800</xdr:colOff>
      <xdr:row>5</xdr:row>
      <xdr:rowOff>0</xdr:rowOff>
    </xdr:from>
    <xdr:to>
      <xdr:col>8</xdr:col>
      <xdr:colOff>685800</xdr:colOff>
      <xdr:row>7</xdr:row>
      <xdr:rowOff>0</xdr:rowOff>
    </xdr:to>
    <xdr:sp macro="" textlink="">
      <xdr:nvSpPr>
        <xdr:cNvPr id="5" name="Line 29"/>
        <xdr:cNvSpPr>
          <a:spLocks noChangeShapeType="1"/>
        </xdr:cNvSpPr>
      </xdr:nvSpPr>
      <xdr:spPr bwMode="auto">
        <a:xfrm flipV="1">
          <a:off x="5124450" y="161925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6" name="Line 31"/>
        <xdr:cNvSpPr>
          <a:spLocks noChangeShapeType="1"/>
        </xdr:cNvSpPr>
      </xdr:nvSpPr>
      <xdr:spPr bwMode="auto">
        <a:xfrm flipH="1">
          <a:off x="5153025" y="171450"/>
          <a:ext cx="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428625</xdr:colOff>
      <xdr:row>5</xdr:row>
      <xdr:rowOff>0</xdr:rowOff>
    </xdr:from>
    <xdr:to>
      <xdr:col>11</xdr:col>
      <xdr:colOff>428625</xdr:colOff>
      <xdr:row>7</xdr:row>
      <xdr:rowOff>0</xdr:rowOff>
    </xdr:to>
    <xdr:sp macro="" textlink="">
      <xdr:nvSpPr>
        <xdr:cNvPr id="7" name="Line 39"/>
        <xdr:cNvSpPr>
          <a:spLocks noChangeShapeType="1"/>
        </xdr:cNvSpPr>
      </xdr:nvSpPr>
      <xdr:spPr bwMode="auto">
        <a:xfrm flipH="1" flipV="1">
          <a:off x="6962775" y="161925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7</xdr:row>
      <xdr:rowOff>0</xdr:rowOff>
    </xdr:from>
    <xdr:to>
      <xdr:col>9</xdr:col>
      <xdr:colOff>895350</xdr:colOff>
      <xdr:row>7</xdr:row>
      <xdr:rowOff>0</xdr:rowOff>
    </xdr:to>
    <xdr:sp macro="" textlink="">
      <xdr:nvSpPr>
        <xdr:cNvPr id="8" name="Line 42"/>
        <xdr:cNvSpPr>
          <a:spLocks noChangeShapeType="1"/>
        </xdr:cNvSpPr>
      </xdr:nvSpPr>
      <xdr:spPr bwMode="auto">
        <a:xfrm>
          <a:off x="5162550" y="485775"/>
          <a:ext cx="885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7</xdr:row>
      <xdr:rowOff>0</xdr:rowOff>
    </xdr:from>
    <xdr:to>
      <xdr:col>11</xdr:col>
      <xdr:colOff>428625</xdr:colOff>
      <xdr:row>7</xdr:row>
      <xdr:rowOff>0</xdr:rowOff>
    </xdr:to>
    <xdr:sp macro="" textlink="">
      <xdr:nvSpPr>
        <xdr:cNvPr id="9" name="Line 44"/>
        <xdr:cNvSpPr>
          <a:spLocks noChangeShapeType="1"/>
        </xdr:cNvSpPr>
      </xdr:nvSpPr>
      <xdr:spPr bwMode="auto">
        <a:xfrm>
          <a:off x="6086475" y="485775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16</xdr:row>
      <xdr:rowOff>114300</xdr:rowOff>
    </xdr:from>
    <xdr:to>
      <xdr:col>19</xdr:col>
      <xdr:colOff>0</xdr:colOff>
      <xdr:row>16</xdr:row>
      <xdr:rowOff>114300</xdr:rowOff>
    </xdr:to>
    <xdr:sp macro="" textlink="">
      <xdr:nvSpPr>
        <xdr:cNvPr id="2" name="Line 20"/>
        <xdr:cNvSpPr>
          <a:spLocks noChangeShapeType="1"/>
        </xdr:cNvSpPr>
      </xdr:nvSpPr>
      <xdr:spPr bwMode="auto">
        <a:xfrm>
          <a:off x="12525375" y="2933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0</xdr:colOff>
      <xdr:row>16</xdr:row>
      <xdr:rowOff>114300</xdr:rowOff>
    </xdr:from>
    <xdr:to>
      <xdr:col>19</xdr:col>
      <xdr:colOff>0</xdr:colOff>
      <xdr:row>16</xdr:row>
      <xdr:rowOff>114300</xdr:rowOff>
    </xdr:to>
    <xdr:sp macro="" textlink="">
      <xdr:nvSpPr>
        <xdr:cNvPr id="3" name="Line 21"/>
        <xdr:cNvSpPr>
          <a:spLocks noChangeShapeType="1"/>
        </xdr:cNvSpPr>
      </xdr:nvSpPr>
      <xdr:spPr bwMode="auto">
        <a:xfrm>
          <a:off x="12525375" y="2933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0</xdr:colOff>
      <xdr:row>16</xdr:row>
      <xdr:rowOff>114300</xdr:rowOff>
    </xdr:from>
    <xdr:to>
      <xdr:col>19</xdr:col>
      <xdr:colOff>0</xdr:colOff>
      <xdr:row>16</xdr:row>
      <xdr:rowOff>114300</xdr:rowOff>
    </xdr:to>
    <xdr:sp macro="" textlink="">
      <xdr:nvSpPr>
        <xdr:cNvPr id="4" name="Line 23"/>
        <xdr:cNvSpPr>
          <a:spLocks noChangeShapeType="1"/>
        </xdr:cNvSpPr>
      </xdr:nvSpPr>
      <xdr:spPr bwMode="auto">
        <a:xfrm flipV="1">
          <a:off x="12525375" y="2933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57150</xdr:colOff>
      <xdr:row>4</xdr:row>
      <xdr:rowOff>19050</xdr:rowOff>
    </xdr:from>
    <xdr:to>
      <xdr:col>3</xdr:col>
      <xdr:colOff>133350</xdr:colOff>
      <xdr:row>6</xdr:row>
      <xdr:rowOff>19050</xdr:rowOff>
    </xdr:to>
    <xdr:pic>
      <xdr:nvPicPr>
        <xdr:cNvPr id="5" name="Figura 2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1009650"/>
          <a:ext cx="1314450" cy="3238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 fLocksWithSheet="0"/>
  </xdr:twoCellAnchor>
  <xdr:twoCellAnchor>
    <xdr:from>
      <xdr:col>13</xdr:col>
      <xdr:colOff>0</xdr:colOff>
      <xdr:row>4</xdr:row>
      <xdr:rowOff>9525</xdr:rowOff>
    </xdr:from>
    <xdr:to>
      <xdr:col>13</xdr:col>
      <xdr:colOff>0</xdr:colOff>
      <xdr:row>6</xdr:row>
      <xdr:rowOff>0</xdr:rowOff>
    </xdr:to>
    <xdr:sp macro="" textlink="">
      <xdr:nvSpPr>
        <xdr:cNvPr id="6" name="Line 69"/>
        <xdr:cNvSpPr>
          <a:spLocks noChangeShapeType="1"/>
        </xdr:cNvSpPr>
      </xdr:nvSpPr>
      <xdr:spPr bwMode="auto">
        <a:xfrm>
          <a:off x="8896350" y="1000125"/>
          <a:ext cx="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6</xdr:row>
      <xdr:rowOff>0</xdr:rowOff>
    </xdr:from>
    <xdr:to>
      <xdr:col>14</xdr:col>
      <xdr:colOff>571500</xdr:colOff>
      <xdr:row>6</xdr:row>
      <xdr:rowOff>0</xdr:rowOff>
    </xdr:to>
    <xdr:sp macro="" textlink="">
      <xdr:nvSpPr>
        <xdr:cNvPr id="7" name="Line 70"/>
        <xdr:cNvSpPr>
          <a:spLocks noChangeShapeType="1"/>
        </xdr:cNvSpPr>
      </xdr:nvSpPr>
      <xdr:spPr bwMode="auto">
        <a:xfrm flipV="1">
          <a:off x="8896350" y="1314450"/>
          <a:ext cx="1152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571500</xdr:colOff>
      <xdr:row>3</xdr:row>
      <xdr:rowOff>238125</xdr:rowOff>
    </xdr:from>
    <xdr:to>
      <xdr:col>14</xdr:col>
      <xdr:colOff>571500</xdr:colOff>
      <xdr:row>6</xdr:row>
      <xdr:rowOff>0</xdr:rowOff>
    </xdr:to>
    <xdr:sp macro="" textlink="">
      <xdr:nvSpPr>
        <xdr:cNvPr id="8" name="Line 71"/>
        <xdr:cNvSpPr>
          <a:spLocks noChangeShapeType="1"/>
        </xdr:cNvSpPr>
      </xdr:nvSpPr>
      <xdr:spPr bwMode="auto">
        <a:xfrm flipH="1" flipV="1">
          <a:off x="10048875" y="981075"/>
          <a:ext cx="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</xdr:row>
      <xdr:rowOff>0</xdr:rowOff>
    </xdr:from>
    <xdr:to>
      <xdr:col>15</xdr:col>
      <xdr:colOff>0</xdr:colOff>
      <xdr:row>6</xdr:row>
      <xdr:rowOff>0</xdr:rowOff>
    </xdr:to>
    <xdr:sp macro="" textlink="">
      <xdr:nvSpPr>
        <xdr:cNvPr id="9" name="Line 73"/>
        <xdr:cNvSpPr>
          <a:spLocks noChangeShapeType="1"/>
        </xdr:cNvSpPr>
      </xdr:nvSpPr>
      <xdr:spPr bwMode="auto">
        <a:xfrm>
          <a:off x="10096500" y="990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</xdr:row>
      <xdr:rowOff>0</xdr:rowOff>
    </xdr:from>
    <xdr:to>
      <xdr:col>16</xdr:col>
      <xdr:colOff>590550</xdr:colOff>
      <xdr:row>6</xdr:row>
      <xdr:rowOff>0</xdr:rowOff>
    </xdr:to>
    <xdr:sp macro="" textlink="">
      <xdr:nvSpPr>
        <xdr:cNvPr id="10" name="Line 74"/>
        <xdr:cNvSpPr>
          <a:spLocks noChangeShapeType="1"/>
        </xdr:cNvSpPr>
      </xdr:nvSpPr>
      <xdr:spPr bwMode="auto">
        <a:xfrm>
          <a:off x="10096500" y="1314450"/>
          <a:ext cx="1209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0</xdr:colOff>
      <xdr:row>6</xdr:row>
      <xdr:rowOff>0</xdr:rowOff>
    </xdr:from>
    <xdr:to>
      <xdr:col>18</xdr:col>
      <xdr:colOff>600075</xdr:colOff>
      <xdr:row>6</xdr:row>
      <xdr:rowOff>0</xdr:rowOff>
    </xdr:to>
    <xdr:sp macro="" textlink="">
      <xdr:nvSpPr>
        <xdr:cNvPr id="11" name="Line 77"/>
        <xdr:cNvSpPr>
          <a:spLocks noChangeShapeType="1"/>
        </xdr:cNvSpPr>
      </xdr:nvSpPr>
      <xdr:spPr bwMode="auto">
        <a:xfrm flipV="1">
          <a:off x="11353800" y="1314450"/>
          <a:ext cx="1152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590550</xdr:colOff>
      <xdr:row>4</xdr:row>
      <xdr:rowOff>0</xdr:rowOff>
    </xdr:from>
    <xdr:to>
      <xdr:col>18</xdr:col>
      <xdr:colOff>590550</xdr:colOff>
      <xdr:row>6</xdr:row>
      <xdr:rowOff>0</xdr:rowOff>
    </xdr:to>
    <xdr:sp macro="" textlink="">
      <xdr:nvSpPr>
        <xdr:cNvPr id="12" name="Line 78"/>
        <xdr:cNvSpPr>
          <a:spLocks noChangeShapeType="1"/>
        </xdr:cNvSpPr>
      </xdr:nvSpPr>
      <xdr:spPr bwMode="auto">
        <a:xfrm flipV="1">
          <a:off x="12496800" y="990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0</xdr:colOff>
      <xdr:row>4</xdr:row>
      <xdr:rowOff>9525</xdr:rowOff>
    </xdr:from>
    <xdr:to>
      <xdr:col>49</xdr:col>
      <xdr:colOff>0</xdr:colOff>
      <xdr:row>6</xdr:row>
      <xdr:rowOff>9525</xdr:rowOff>
    </xdr:to>
    <xdr:sp macro="" textlink="">
      <xdr:nvSpPr>
        <xdr:cNvPr id="13" name="Line 101"/>
        <xdr:cNvSpPr>
          <a:spLocks noChangeShapeType="1"/>
        </xdr:cNvSpPr>
      </xdr:nvSpPr>
      <xdr:spPr bwMode="auto">
        <a:xfrm>
          <a:off x="31099125" y="1000125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0</xdr:colOff>
      <xdr:row>6</xdr:row>
      <xdr:rowOff>0</xdr:rowOff>
    </xdr:from>
    <xdr:to>
      <xdr:col>50</xdr:col>
      <xdr:colOff>581025</xdr:colOff>
      <xdr:row>6</xdr:row>
      <xdr:rowOff>0</xdr:rowOff>
    </xdr:to>
    <xdr:sp macro="" textlink="">
      <xdr:nvSpPr>
        <xdr:cNvPr id="14" name="Line 102"/>
        <xdr:cNvSpPr>
          <a:spLocks noChangeShapeType="1"/>
        </xdr:cNvSpPr>
      </xdr:nvSpPr>
      <xdr:spPr bwMode="auto">
        <a:xfrm>
          <a:off x="31099125" y="1314450"/>
          <a:ext cx="1200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590550</xdr:colOff>
      <xdr:row>4</xdr:row>
      <xdr:rowOff>0</xdr:rowOff>
    </xdr:from>
    <xdr:to>
      <xdr:col>50</xdr:col>
      <xdr:colOff>590550</xdr:colOff>
      <xdr:row>6</xdr:row>
      <xdr:rowOff>0</xdr:rowOff>
    </xdr:to>
    <xdr:sp macro="" textlink="">
      <xdr:nvSpPr>
        <xdr:cNvPr id="15" name="Line 103"/>
        <xdr:cNvSpPr>
          <a:spLocks noChangeShapeType="1"/>
        </xdr:cNvSpPr>
      </xdr:nvSpPr>
      <xdr:spPr bwMode="auto">
        <a:xfrm flipV="1">
          <a:off x="32308800" y="990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0</xdr:colOff>
      <xdr:row>4</xdr:row>
      <xdr:rowOff>0</xdr:rowOff>
    </xdr:from>
    <xdr:to>
      <xdr:col>51</xdr:col>
      <xdr:colOff>0</xdr:colOff>
      <xdr:row>6</xdr:row>
      <xdr:rowOff>0</xdr:rowOff>
    </xdr:to>
    <xdr:sp macro="" textlink="">
      <xdr:nvSpPr>
        <xdr:cNvPr id="16" name="Line 105"/>
        <xdr:cNvSpPr>
          <a:spLocks noChangeShapeType="1"/>
        </xdr:cNvSpPr>
      </xdr:nvSpPr>
      <xdr:spPr bwMode="auto">
        <a:xfrm>
          <a:off x="32337375" y="990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0</xdr:colOff>
      <xdr:row>6</xdr:row>
      <xdr:rowOff>0</xdr:rowOff>
    </xdr:from>
    <xdr:to>
      <xdr:col>52</xdr:col>
      <xdr:colOff>590550</xdr:colOff>
      <xdr:row>6</xdr:row>
      <xdr:rowOff>0</xdr:rowOff>
    </xdr:to>
    <xdr:sp macro="" textlink="">
      <xdr:nvSpPr>
        <xdr:cNvPr id="17" name="Line 108"/>
        <xdr:cNvSpPr>
          <a:spLocks noChangeShapeType="1"/>
        </xdr:cNvSpPr>
      </xdr:nvSpPr>
      <xdr:spPr bwMode="auto">
        <a:xfrm>
          <a:off x="32337375" y="1314450"/>
          <a:ext cx="1209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53</xdr:col>
      <xdr:colOff>0</xdr:colOff>
      <xdr:row>6</xdr:row>
      <xdr:rowOff>0</xdr:rowOff>
    </xdr:from>
    <xdr:to>
      <xdr:col>54</xdr:col>
      <xdr:colOff>609600</xdr:colOff>
      <xdr:row>6</xdr:row>
      <xdr:rowOff>0</xdr:rowOff>
    </xdr:to>
    <xdr:sp macro="" textlink="">
      <xdr:nvSpPr>
        <xdr:cNvPr id="18" name="Line 112"/>
        <xdr:cNvSpPr>
          <a:spLocks noChangeShapeType="1"/>
        </xdr:cNvSpPr>
      </xdr:nvSpPr>
      <xdr:spPr bwMode="auto">
        <a:xfrm>
          <a:off x="33575625" y="1314450"/>
          <a:ext cx="1228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600075</xdr:colOff>
      <xdr:row>4</xdr:row>
      <xdr:rowOff>0</xdr:rowOff>
    </xdr:from>
    <xdr:to>
      <xdr:col>54</xdr:col>
      <xdr:colOff>600075</xdr:colOff>
      <xdr:row>6</xdr:row>
      <xdr:rowOff>0</xdr:rowOff>
    </xdr:to>
    <xdr:sp macro="" textlink="">
      <xdr:nvSpPr>
        <xdr:cNvPr id="19" name="Line 113"/>
        <xdr:cNvSpPr>
          <a:spLocks noChangeShapeType="1"/>
        </xdr:cNvSpPr>
      </xdr:nvSpPr>
      <xdr:spPr bwMode="auto">
        <a:xfrm flipV="1">
          <a:off x="34794825" y="990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590550</xdr:colOff>
      <xdr:row>4</xdr:row>
      <xdr:rowOff>0</xdr:rowOff>
    </xdr:from>
    <xdr:to>
      <xdr:col>42</xdr:col>
      <xdr:colOff>590550</xdr:colOff>
      <xdr:row>6</xdr:row>
      <xdr:rowOff>0</xdr:rowOff>
    </xdr:to>
    <xdr:sp macro="" textlink="">
      <xdr:nvSpPr>
        <xdr:cNvPr id="20" name="Line 115"/>
        <xdr:cNvSpPr>
          <a:spLocks noChangeShapeType="1"/>
        </xdr:cNvSpPr>
      </xdr:nvSpPr>
      <xdr:spPr bwMode="auto">
        <a:xfrm>
          <a:off x="27355800" y="990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0</xdr:colOff>
      <xdr:row>6</xdr:row>
      <xdr:rowOff>0</xdr:rowOff>
    </xdr:from>
    <xdr:to>
      <xdr:col>42</xdr:col>
      <xdr:colOff>590550</xdr:colOff>
      <xdr:row>6</xdr:row>
      <xdr:rowOff>0</xdr:rowOff>
    </xdr:to>
    <xdr:sp macro="" textlink="">
      <xdr:nvSpPr>
        <xdr:cNvPr id="21" name="Line 117"/>
        <xdr:cNvSpPr>
          <a:spLocks noChangeShapeType="1"/>
        </xdr:cNvSpPr>
      </xdr:nvSpPr>
      <xdr:spPr bwMode="auto">
        <a:xfrm>
          <a:off x="26146125" y="1314450"/>
          <a:ext cx="1209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0</xdr:colOff>
      <xdr:row>6</xdr:row>
      <xdr:rowOff>0</xdr:rowOff>
    </xdr:from>
    <xdr:to>
      <xdr:col>40</xdr:col>
      <xdr:colOff>590550</xdr:colOff>
      <xdr:row>6</xdr:row>
      <xdr:rowOff>0</xdr:rowOff>
    </xdr:to>
    <xdr:sp macro="" textlink="">
      <xdr:nvSpPr>
        <xdr:cNvPr id="22" name="Line 119"/>
        <xdr:cNvSpPr>
          <a:spLocks noChangeShapeType="1"/>
        </xdr:cNvSpPr>
      </xdr:nvSpPr>
      <xdr:spPr bwMode="auto">
        <a:xfrm>
          <a:off x="24907875" y="1314450"/>
          <a:ext cx="1209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0</xdr:colOff>
      <xdr:row>4</xdr:row>
      <xdr:rowOff>0</xdr:rowOff>
    </xdr:from>
    <xdr:to>
      <xdr:col>39</xdr:col>
      <xdr:colOff>0</xdr:colOff>
      <xdr:row>6</xdr:row>
      <xdr:rowOff>0</xdr:rowOff>
    </xdr:to>
    <xdr:sp macro="" textlink="">
      <xdr:nvSpPr>
        <xdr:cNvPr id="23" name="Line 120"/>
        <xdr:cNvSpPr>
          <a:spLocks noChangeShapeType="1"/>
        </xdr:cNvSpPr>
      </xdr:nvSpPr>
      <xdr:spPr bwMode="auto">
        <a:xfrm>
          <a:off x="24907875" y="990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37</xdr:col>
      <xdr:colOff>0</xdr:colOff>
      <xdr:row>4</xdr:row>
      <xdr:rowOff>0</xdr:rowOff>
    </xdr:from>
    <xdr:to>
      <xdr:col>37</xdr:col>
      <xdr:colOff>0</xdr:colOff>
      <xdr:row>6</xdr:row>
      <xdr:rowOff>0</xdr:rowOff>
    </xdr:to>
    <xdr:sp macro="" textlink="">
      <xdr:nvSpPr>
        <xdr:cNvPr id="24" name="Line 121"/>
        <xdr:cNvSpPr>
          <a:spLocks noChangeShapeType="1"/>
        </xdr:cNvSpPr>
      </xdr:nvSpPr>
      <xdr:spPr bwMode="auto">
        <a:xfrm>
          <a:off x="23669625" y="990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37</xdr:col>
      <xdr:colOff>0</xdr:colOff>
      <xdr:row>6</xdr:row>
      <xdr:rowOff>0</xdr:rowOff>
    </xdr:from>
    <xdr:to>
      <xdr:col>38</xdr:col>
      <xdr:colOff>590550</xdr:colOff>
      <xdr:row>6</xdr:row>
      <xdr:rowOff>0</xdr:rowOff>
    </xdr:to>
    <xdr:sp macro="" textlink="">
      <xdr:nvSpPr>
        <xdr:cNvPr id="25" name="Line 122"/>
        <xdr:cNvSpPr>
          <a:spLocks noChangeShapeType="1"/>
        </xdr:cNvSpPr>
      </xdr:nvSpPr>
      <xdr:spPr bwMode="auto">
        <a:xfrm>
          <a:off x="23669625" y="1314450"/>
          <a:ext cx="1209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590550</xdr:colOff>
      <xdr:row>4</xdr:row>
      <xdr:rowOff>0</xdr:rowOff>
    </xdr:from>
    <xdr:to>
      <xdr:col>38</xdr:col>
      <xdr:colOff>590550</xdr:colOff>
      <xdr:row>6</xdr:row>
      <xdr:rowOff>0</xdr:rowOff>
    </xdr:to>
    <xdr:sp macro="" textlink="">
      <xdr:nvSpPr>
        <xdr:cNvPr id="26" name="Line 123"/>
        <xdr:cNvSpPr>
          <a:spLocks noChangeShapeType="1"/>
        </xdr:cNvSpPr>
      </xdr:nvSpPr>
      <xdr:spPr bwMode="auto">
        <a:xfrm>
          <a:off x="24879300" y="990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25</xdr:col>
      <xdr:colOff>0</xdr:colOff>
      <xdr:row>4</xdr:row>
      <xdr:rowOff>0</xdr:rowOff>
    </xdr:from>
    <xdr:to>
      <xdr:col>25</xdr:col>
      <xdr:colOff>0</xdr:colOff>
      <xdr:row>6</xdr:row>
      <xdr:rowOff>0</xdr:rowOff>
    </xdr:to>
    <xdr:sp macro="" textlink="">
      <xdr:nvSpPr>
        <xdr:cNvPr id="27" name="Line 124"/>
        <xdr:cNvSpPr>
          <a:spLocks noChangeShapeType="1"/>
        </xdr:cNvSpPr>
      </xdr:nvSpPr>
      <xdr:spPr bwMode="auto">
        <a:xfrm>
          <a:off x="16240125" y="990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25</xdr:col>
      <xdr:colOff>0</xdr:colOff>
      <xdr:row>6</xdr:row>
      <xdr:rowOff>0</xdr:rowOff>
    </xdr:from>
    <xdr:to>
      <xdr:col>26</xdr:col>
      <xdr:colOff>600075</xdr:colOff>
      <xdr:row>6</xdr:row>
      <xdr:rowOff>0</xdr:rowOff>
    </xdr:to>
    <xdr:sp macro="" textlink="">
      <xdr:nvSpPr>
        <xdr:cNvPr id="28" name="Line 125"/>
        <xdr:cNvSpPr>
          <a:spLocks noChangeShapeType="1"/>
        </xdr:cNvSpPr>
      </xdr:nvSpPr>
      <xdr:spPr bwMode="auto">
        <a:xfrm>
          <a:off x="16240125" y="1314450"/>
          <a:ext cx="1219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600075</xdr:colOff>
      <xdr:row>4</xdr:row>
      <xdr:rowOff>0</xdr:rowOff>
    </xdr:from>
    <xdr:to>
      <xdr:col>26</xdr:col>
      <xdr:colOff>600075</xdr:colOff>
      <xdr:row>6</xdr:row>
      <xdr:rowOff>0</xdr:rowOff>
    </xdr:to>
    <xdr:sp macro="" textlink="">
      <xdr:nvSpPr>
        <xdr:cNvPr id="29" name="Line 126"/>
        <xdr:cNvSpPr>
          <a:spLocks noChangeShapeType="1"/>
        </xdr:cNvSpPr>
      </xdr:nvSpPr>
      <xdr:spPr bwMode="auto">
        <a:xfrm flipV="1">
          <a:off x="17459325" y="990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9525</xdr:colOff>
      <xdr:row>4</xdr:row>
      <xdr:rowOff>0</xdr:rowOff>
    </xdr:from>
    <xdr:to>
      <xdr:col>27</xdr:col>
      <xdr:colOff>9525</xdr:colOff>
      <xdr:row>6</xdr:row>
      <xdr:rowOff>0</xdr:rowOff>
    </xdr:to>
    <xdr:sp macro="" textlink="">
      <xdr:nvSpPr>
        <xdr:cNvPr id="30" name="Line 127"/>
        <xdr:cNvSpPr>
          <a:spLocks noChangeShapeType="1"/>
        </xdr:cNvSpPr>
      </xdr:nvSpPr>
      <xdr:spPr bwMode="auto">
        <a:xfrm>
          <a:off x="17487900" y="990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9525</xdr:colOff>
      <xdr:row>6</xdr:row>
      <xdr:rowOff>0</xdr:rowOff>
    </xdr:from>
    <xdr:to>
      <xdr:col>28</xdr:col>
      <xdr:colOff>590550</xdr:colOff>
      <xdr:row>6</xdr:row>
      <xdr:rowOff>0</xdr:rowOff>
    </xdr:to>
    <xdr:sp macro="" textlink="">
      <xdr:nvSpPr>
        <xdr:cNvPr id="31" name="Line 128"/>
        <xdr:cNvSpPr>
          <a:spLocks noChangeShapeType="1"/>
        </xdr:cNvSpPr>
      </xdr:nvSpPr>
      <xdr:spPr bwMode="auto">
        <a:xfrm>
          <a:off x="17487900" y="1314450"/>
          <a:ext cx="1200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6</xdr:row>
      <xdr:rowOff>0</xdr:rowOff>
    </xdr:from>
    <xdr:to>
      <xdr:col>30</xdr:col>
      <xdr:colOff>590550</xdr:colOff>
      <xdr:row>6</xdr:row>
      <xdr:rowOff>0</xdr:rowOff>
    </xdr:to>
    <xdr:sp macro="" textlink="">
      <xdr:nvSpPr>
        <xdr:cNvPr id="32" name="Line 131"/>
        <xdr:cNvSpPr>
          <a:spLocks noChangeShapeType="1"/>
        </xdr:cNvSpPr>
      </xdr:nvSpPr>
      <xdr:spPr bwMode="auto">
        <a:xfrm>
          <a:off x="18716625" y="1314450"/>
          <a:ext cx="1209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590550</xdr:colOff>
      <xdr:row>4</xdr:row>
      <xdr:rowOff>0</xdr:rowOff>
    </xdr:from>
    <xdr:to>
      <xdr:col>30</xdr:col>
      <xdr:colOff>590550</xdr:colOff>
      <xdr:row>6</xdr:row>
      <xdr:rowOff>0</xdr:rowOff>
    </xdr:to>
    <xdr:sp macro="" textlink="">
      <xdr:nvSpPr>
        <xdr:cNvPr id="33" name="Line 132"/>
        <xdr:cNvSpPr>
          <a:spLocks noChangeShapeType="1"/>
        </xdr:cNvSpPr>
      </xdr:nvSpPr>
      <xdr:spPr bwMode="auto">
        <a:xfrm flipV="1">
          <a:off x="19926300" y="990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7</xdr:col>
      <xdr:colOff>142875</xdr:colOff>
      <xdr:row>2</xdr:row>
      <xdr:rowOff>57150</xdr:rowOff>
    </xdr:to>
    <xdr:pic>
      <xdr:nvPicPr>
        <xdr:cNvPr id="2" name="Figura 2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1314450" cy="3238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Felipe/SITE/Felipe/SITE/Informacoes_Sobre_Construcao_detalhada_agos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Felipe/SITE/PLANILHA%20EXEMPLO/PM1115000v02%20-%20Or&#231;amento%20e%20CronogramaU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ejamento_Obra"/>
      <sheetName val="Lista_Material Casa"/>
      <sheetName val="Lista_Mão Obra"/>
      <sheetName val="Verificação_Qualidade"/>
      <sheetName val="Resultado"/>
      <sheetName val="Cronograma"/>
      <sheetName val="Envolvidos"/>
    </sheetNames>
    <sheetDataSet>
      <sheetData sheetId="0">
        <row r="3">
          <cell r="B3">
            <v>56</v>
          </cell>
        </row>
        <row r="11">
          <cell r="B11">
            <v>12</v>
          </cell>
        </row>
        <row r="12">
          <cell r="B12">
            <v>0</v>
          </cell>
        </row>
        <row r="14">
          <cell r="B14">
            <v>2.2000000000000002</v>
          </cell>
        </row>
        <row r="18">
          <cell r="B18">
            <v>56</v>
          </cell>
        </row>
        <row r="19">
          <cell r="B19">
            <v>2.8</v>
          </cell>
        </row>
        <row r="88">
          <cell r="C88">
            <v>6.3046153846153832</v>
          </cell>
          <cell r="D88">
            <v>5.0987931210000017</v>
          </cell>
          <cell r="E88">
            <v>5.0987931210000017</v>
          </cell>
        </row>
        <row r="117">
          <cell r="B117">
            <v>6</v>
          </cell>
        </row>
        <row r="126">
          <cell r="B126">
            <v>0.1</v>
          </cell>
        </row>
        <row r="127">
          <cell r="B127">
            <v>0.1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Cronograma"/>
      <sheetName val="ESPELHO"/>
    </sheetNames>
    <sheetDataSet>
      <sheetData sheetId="0">
        <row r="12">
          <cell r="J12" t="str">
            <v>CCSBPE</v>
          </cell>
        </row>
        <row r="344">
          <cell r="E344" t="str">
            <v>Engº Civil</v>
          </cell>
        </row>
        <row r="345">
          <cell r="E345" t="str">
            <v xml:space="preserve">CREA/SP nº </v>
          </cell>
        </row>
        <row r="346">
          <cell r="E346" t="str">
            <v>CPF nº</v>
          </cell>
        </row>
      </sheetData>
      <sheetData sheetId="1">
        <row r="16">
          <cell r="K16" t="str">
            <v>Santa Rosa Ipês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B2:AE40"/>
  <sheetViews>
    <sheetView tabSelected="1" zoomScaleNormal="100" workbookViewId="0"/>
  </sheetViews>
  <sheetFormatPr defaultRowHeight="15"/>
  <cols>
    <col min="1" max="1" width="9" customWidth="1"/>
    <col min="2" max="2" width="1.42578125" customWidth="1"/>
    <col min="3" max="3" width="5.85546875" customWidth="1"/>
    <col min="4" max="4" width="1.42578125" customWidth="1"/>
    <col min="6" max="6" width="9.28515625" customWidth="1"/>
    <col min="7" max="7" width="1.42578125" customWidth="1"/>
    <col min="8" max="8" width="2.7109375" customWidth="1"/>
    <col min="11" max="11" width="12.42578125" customWidth="1"/>
    <col min="12" max="12" width="4" customWidth="1"/>
    <col min="13" max="13" width="7.42578125" customWidth="1"/>
    <col min="18" max="18" width="16.28515625" customWidth="1"/>
    <col min="20" max="20" width="1.42578125" customWidth="1"/>
    <col min="23" max="23" width="1.42578125" customWidth="1"/>
    <col min="24" max="24" width="17.28515625" customWidth="1"/>
    <col min="25" max="25" width="12.140625" customWidth="1"/>
    <col min="26" max="26" width="1.42578125" customWidth="1"/>
    <col min="27" max="27" width="9" customWidth="1"/>
    <col min="28" max="28" width="1.42578125" customWidth="1"/>
    <col min="29" max="29" width="18.28515625" customWidth="1"/>
    <col min="30" max="30" width="10.85546875" customWidth="1"/>
    <col min="31" max="31" width="1.42578125" customWidth="1"/>
  </cols>
  <sheetData>
    <row r="2" spans="2:31" ht="24" customHeight="1" thickBot="1">
      <c r="G2" s="829"/>
      <c r="H2" s="829"/>
      <c r="I2" s="829"/>
      <c r="J2" s="829"/>
      <c r="K2" s="829"/>
      <c r="L2" s="829"/>
      <c r="M2" s="829"/>
      <c r="N2" s="829"/>
      <c r="O2" s="829"/>
      <c r="P2" s="829"/>
      <c r="Q2" s="829"/>
      <c r="R2" s="829"/>
      <c r="S2" s="829"/>
      <c r="T2" s="829"/>
    </row>
    <row r="3" spans="2:31" ht="6" customHeight="1" thickBot="1">
      <c r="B3" s="23"/>
      <c r="C3" s="23"/>
      <c r="D3" s="23"/>
      <c r="F3" s="828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254"/>
      <c r="W3" s="247"/>
      <c r="X3" s="215"/>
      <c r="Y3" s="215"/>
      <c r="Z3" s="253"/>
      <c r="AB3" s="247"/>
      <c r="AC3" s="215"/>
      <c r="AD3" s="215"/>
      <c r="AE3" s="253"/>
    </row>
    <row r="4" spans="2:31" ht="15.75" thickBot="1">
      <c r="B4" s="23"/>
      <c r="C4" s="850"/>
      <c r="D4" s="23"/>
      <c r="F4" s="828"/>
      <c r="G4" s="69"/>
      <c r="H4" s="201"/>
      <c r="I4" s="871"/>
      <c r="J4" s="871"/>
      <c r="K4" s="871"/>
      <c r="L4" s="202"/>
      <c r="M4" s="202"/>
      <c r="N4" s="202"/>
      <c r="O4" s="851" t="s">
        <v>18</v>
      </c>
      <c r="P4" s="855"/>
      <c r="Q4" s="855"/>
      <c r="R4" s="202"/>
      <c r="S4" s="203"/>
      <c r="T4" s="254"/>
      <c r="W4" s="220"/>
      <c r="X4" s="869" t="s">
        <v>1067</v>
      </c>
      <c r="Y4" s="870"/>
      <c r="Z4" s="254"/>
      <c r="AB4" s="220"/>
      <c r="AC4" s="869" t="s">
        <v>1100</v>
      </c>
      <c r="AD4" s="870"/>
      <c r="AE4" s="254"/>
    </row>
    <row r="5" spans="2:31">
      <c r="B5" s="23"/>
      <c r="C5" s="209"/>
      <c r="D5" s="23"/>
      <c r="F5" s="828"/>
      <c r="G5" s="69"/>
      <c r="H5" s="204"/>
      <c r="I5" s="873"/>
      <c r="J5" s="874"/>
      <c r="K5" s="875"/>
      <c r="L5" s="3"/>
      <c r="M5" s="864" t="s">
        <v>1137</v>
      </c>
      <c r="N5" s="864"/>
      <c r="O5" s="864"/>
      <c r="P5" s="864"/>
      <c r="Q5" s="864"/>
      <c r="R5" s="864"/>
      <c r="S5" s="205"/>
      <c r="T5" s="254"/>
      <c r="W5" s="220"/>
      <c r="X5" s="832" t="s">
        <v>30</v>
      </c>
      <c r="Y5" s="833" t="s">
        <v>45</v>
      </c>
      <c r="Z5" s="254"/>
      <c r="AB5" s="220"/>
      <c r="AC5" s="832" t="s">
        <v>30</v>
      </c>
      <c r="AD5" s="833" t="s">
        <v>3</v>
      </c>
      <c r="AE5" s="254"/>
    </row>
    <row r="6" spans="2:31">
      <c r="B6" s="23"/>
      <c r="C6" s="216"/>
      <c r="D6" s="216"/>
      <c r="F6" s="828"/>
      <c r="G6" s="69"/>
      <c r="H6" s="204"/>
      <c r="I6" s="876"/>
      <c r="J6" s="877"/>
      <c r="K6" s="878"/>
      <c r="L6" s="3"/>
      <c r="M6" s="864"/>
      <c r="N6" s="864"/>
      <c r="O6" s="864"/>
      <c r="P6" s="864"/>
      <c r="Q6" s="864"/>
      <c r="R6" s="864"/>
      <c r="S6" s="205"/>
      <c r="T6" s="254"/>
      <c r="W6" s="220"/>
      <c r="X6" s="834" t="s">
        <v>43</v>
      </c>
      <c r="Y6" s="835">
        <v>18</v>
      </c>
      <c r="Z6" s="830"/>
      <c r="AB6" s="220"/>
      <c r="AC6" s="834" t="s">
        <v>1090</v>
      </c>
      <c r="AD6" s="849">
        <v>410</v>
      </c>
      <c r="AE6" s="830"/>
    </row>
    <row r="7" spans="2:31" ht="15.75" thickBot="1">
      <c r="B7" s="23"/>
      <c r="C7" s="216"/>
      <c r="D7" s="216"/>
      <c r="F7" s="828"/>
      <c r="G7" s="69"/>
      <c r="H7" s="204"/>
      <c r="I7" s="879"/>
      <c r="J7" s="880"/>
      <c r="K7" s="881"/>
      <c r="L7" s="3"/>
      <c r="M7" s="864"/>
      <c r="N7" s="864"/>
      <c r="O7" s="864"/>
      <c r="P7" s="864"/>
      <c r="Q7" s="864"/>
      <c r="R7" s="864"/>
      <c r="S7" s="205"/>
      <c r="T7" s="254"/>
      <c r="V7" s="852"/>
      <c r="W7" s="220"/>
      <c r="X7" s="834" t="s">
        <v>32</v>
      </c>
      <c r="Y7" s="835">
        <v>10.5</v>
      </c>
      <c r="Z7" s="830"/>
      <c r="AB7" s="220"/>
      <c r="AC7" s="834" t="s">
        <v>1091</v>
      </c>
      <c r="AD7" s="849">
        <v>820</v>
      </c>
      <c r="AE7" s="830"/>
    </row>
    <row r="8" spans="2:31" ht="15.75" thickBot="1">
      <c r="B8" s="23"/>
      <c r="C8" s="216"/>
      <c r="D8" s="216"/>
      <c r="F8" s="828"/>
      <c r="G8" s="69"/>
      <c r="H8" s="206"/>
      <c r="I8" s="872"/>
      <c r="J8" s="872"/>
      <c r="K8" s="872"/>
      <c r="L8" s="207"/>
      <c r="M8" s="207"/>
      <c r="N8" s="207"/>
      <c r="O8" s="207"/>
      <c r="P8" s="207"/>
      <c r="Q8" s="207"/>
      <c r="R8" s="207"/>
      <c r="S8" s="208"/>
      <c r="T8" s="254"/>
      <c r="W8" s="220"/>
      <c r="X8" s="834" t="s">
        <v>33</v>
      </c>
      <c r="Y8" s="835">
        <v>16</v>
      </c>
      <c r="Z8" s="830"/>
      <c r="AB8" s="220"/>
      <c r="AC8" s="834" t="s">
        <v>1092</v>
      </c>
      <c r="AD8" s="849">
        <v>900</v>
      </c>
      <c r="AE8" s="830"/>
    </row>
    <row r="9" spans="2:31" ht="15.75" thickBot="1">
      <c r="B9" s="23"/>
      <c r="C9" s="216"/>
      <c r="D9" s="216"/>
      <c r="F9" s="828"/>
      <c r="G9" s="69"/>
      <c r="H9" s="882" t="s">
        <v>281</v>
      </c>
      <c r="I9" s="883"/>
      <c r="J9" s="883"/>
      <c r="K9" s="883"/>
      <c r="L9" s="883"/>
      <c r="M9" s="883"/>
      <c r="N9" s="883"/>
      <c r="O9" s="883"/>
      <c r="P9" s="883"/>
      <c r="Q9" s="883"/>
      <c r="R9" s="883"/>
      <c r="S9" s="884"/>
      <c r="T9" s="254"/>
      <c r="W9" s="220"/>
      <c r="X9" s="834" t="s">
        <v>34</v>
      </c>
      <c r="Y9" s="835">
        <v>16</v>
      </c>
      <c r="Z9" s="830"/>
      <c r="AB9" s="220"/>
      <c r="AC9" s="834" t="s">
        <v>1093</v>
      </c>
      <c r="AD9" s="849">
        <v>1700</v>
      </c>
      <c r="AE9" s="830"/>
    </row>
    <row r="10" spans="2:31">
      <c r="B10" s="23"/>
      <c r="C10" s="216"/>
      <c r="D10" s="216"/>
      <c r="F10" s="828"/>
      <c r="G10" s="69"/>
      <c r="H10" s="210" t="s">
        <v>2</v>
      </c>
      <c r="I10" s="885" t="s">
        <v>246</v>
      </c>
      <c r="J10" s="885"/>
      <c r="K10" s="885"/>
      <c r="L10" s="885"/>
      <c r="M10" s="885"/>
      <c r="N10" s="885"/>
      <c r="O10" s="885"/>
      <c r="P10" s="885"/>
      <c r="Q10" s="885"/>
      <c r="R10" s="885"/>
      <c r="S10" s="886"/>
      <c r="T10" s="254"/>
      <c r="W10" s="220"/>
      <c r="X10" s="834" t="s">
        <v>35</v>
      </c>
      <c r="Y10" s="835">
        <v>11.5</v>
      </c>
      <c r="Z10" s="830"/>
      <c r="AB10" s="220"/>
      <c r="AC10" s="887" t="s">
        <v>1099</v>
      </c>
      <c r="AD10" s="888"/>
      <c r="AE10" s="830"/>
    </row>
    <row r="11" spans="2:31">
      <c r="B11" s="23"/>
      <c r="C11" s="216"/>
      <c r="D11" s="216"/>
      <c r="F11" s="828"/>
      <c r="G11" s="69"/>
      <c r="H11" s="213"/>
      <c r="I11" s="862" t="s">
        <v>247</v>
      </c>
      <c r="J11" s="862"/>
      <c r="K11" s="862"/>
      <c r="L11" s="862"/>
      <c r="M11" s="862"/>
      <c r="N11" s="862"/>
      <c r="O11" s="862"/>
      <c r="P11" s="862"/>
      <c r="Q11" s="862"/>
      <c r="R11" s="862"/>
      <c r="S11" s="863"/>
      <c r="T11" s="254"/>
      <c r="W11" s="220"/>
      <c r="X11" s="834" t="s">
        <v>36</v>
      </c>
      <c r="Y11" s="835">
        <v>16</v>
      </c>
      <c r="Z11" s="830"/>
      <c r="AB11" s="220"/>
      <c r="AC11" s="834" t="s">
        <v>1101</v>
      </c>
      <c r="AD11" s="849">
        <v>1300</v>
      </c>
      <c r="AE11" s="830"/>
    </row>
    <row r="12" spans="2:31" ht="15.75" customHeight="1">
      <c r="B12" s="23"/>
      <c r="C12" s="217"/>
      <c r="D12" s="218"/>
      <c r="F12" s="828"/>
      <c r="G12" s="69"/>
      <c r="H12" s="213" t="s">
        <v>10</v>
      </c>
      <c r="I12" s="862" t="s">
        <v>248</v>
      </c>
      <c r="J12" s="862"/>
      <c r="K12" s="862"/>
      <c r="L12" s="862"/>
      <c r="M12" s="862"/>
      <c r="N12" s="862"/>
      <c r="O12" s="862"/>
      <c r="P12" s="862"/>
      <c r="Q12" s="862"/>
      <c r="R12" s="862"/>
      <c r="S12" s="863"/>
      <c r="T12" s="254"/>
      <c r="W12" s="220"/>
      <c r="X12" s="836" t="s">
        <v>37</v>
      </c>
      <c r="Y12" s="837">
        <v>13.5</v>
      </c>
      <c r="Z12" s="831"/>
      <c r="AB12" s="220"/>
      <c r="AC12" s="834" t="s">
        <v>1102</v>
      </c>
      <c r="AD12" s="849">
        <v>2000</v>
      </c>
      <c r="AE12" s="830"/>
    </row>
    <row r="13" spans="2:31">
      <c r="B13" s="23"/>
      <c r="C13" s="217"/>
      <c r="D13" s="23"/>
      <c r="F13" s="828"/>
      <c r="G13" s="69"/>
      <c r="H13" s="213" t="s">
        <v>25</v>
      </c>
      <c r="I13" s="862" t="s">
        <v>1069</v>
      </c>
      <c r="J13" s="862"/>
      <c r="K13" s="862"/>
      <c r="L13" s="862"/>
      <c r="M13" s="862"/>
      <c r="N13" s="862"/>
      <c r="O13" s="862"/>
      <c r="P13" s="862"/>
      <c r="Q13" s="862"/>
      <c r="R13" s="862"/>
      <c r="S13" s="863"/>
      <c r="T13" s="254"/>
      <c r="W13" s="220"/>
      <c r="X13" s="288" t="s">
        <v>38</v>
      </c>
      <c r="Y13" s="837">
        <v>32</v>
      </c>
      <c r="Z13" s="254"/>
      <c r="AB13" s="220"/>
      <c r="AC13" s="834" t="s">
        <v>1103</v>
      </c>
      <c r="AD13" s="849">
        <v>2500</v>
      </c>
      <c r="AE13" s="830"/>
    </row>
    <row r="14" spans="2:31" ht="15.75" thickBot="1">
      <c r="B14" s="23"/>
      <c r="C14" s="217"/>
      <c r="D14" s="23"/>
      <c r="F14" s="828"/>
      <c r="G14" s="69"/>
      <c r="H14" s="211"/>
      <c r="I14" s="862" t="s">
        <v>249</v>
      </c>
      <c r="J14" s="862"/>
      <c r="K14" s="862"/>
      <c r="L14" s="862"/>
      <c r="M14" s="862"/>
      <c r="N14" s="862"/>
      <c r="O14" s="862"/>
      <c r="P14" s="862"/>
      <c r="Q14" s="862"/>
      <c r="R14" s="862"/>
      <c r="S14" s="863"/>
      <c r="T14" s="254"/>
      <c r="W14" s="220"/>
      <c r="X14" s="288" t="s">
        <v>39</v>
      </c>
      <c r="Y14" s="837">
        <v>30</v>
      </c>
      <c r="Z14" s="254"/>
      <c r="AB14" s="255"/>
      <c r="AC14" s="246"/>
      <c r="AD14" s="246"/>
      <c r="AE14" s="256"/>
    </row>
    <row r="15" spans="2:31">
      <c r="B15" s="23"/>
      <c r="C15" s="217"/>
      <c r="D15" s="23"/>
      <c r="F15" s="828"/>
      <c r="G15" s="69"/>
      <c r="H15" s="213" t="s">
        <v>250</v>
      </c>
      <c r="I15" s="862" t="s">
        <v>251</v>
      </c>
      <c r="J15" s="862"/>
      <c r="K15" s="862"/>
      <c r="L15" s="862"/>
      <c r="M15" s="862"/>
      <c r="N15" s="862"/>
      <c r="O15" s="862"/>
      <c r="P15" s="862"/>
      <c r="Q15" s="862"/>
      <c r="R15" s="862"/>
      <c r="S15" s="863"/>
      <c r="T15" s="254"/>
      <c r="W15" s="220"/>
      <c r="X15" s="288" t="s">
        <v>40</v>
      </c>
      <c r="Y15" s="837">
        <v>25</v>
      </c>
      <c r="Z15" s="254"/>
    </row>
    <row r="16" spans="2:31">
      <c r="B16" s="23"/>
      <c r="C16" s="23"/>
      <c r="D16" s="23"/>
      <c r="F16" s="828"/>
      <c r="G16" s="69"/>
      <c r="H16" s="211"/>
      <c r="I16" s="862" t="s">
        <v>252</v>
      </c>
      <c r="J16" s="862"/>
      <c r="K16" s="862"/>
      <c r="L16" s="862"/>
      <c r="M16" s="862"/>
      <c r="N16" s="862"/>
      <c r="O16" s="862"/>
      <c r="P16" s="862"/>
      <c r="Q16" s="862"/>
      <c r="R16" s="862"/>
      <c r="S16" s="863"/>
      <c r="T16" s="254"/>
      <c r="W16" s="220"/>
      <c r="X16" s="288" t="s">
        <v>41</v>
      </c>
      <c r="Y16" s="838">
        <v>26</v>
      </c>
      <c r="Z16" s="254"/>
    </row>
    <row r="17" spans="2:30">
      <c r="B17" s="23"/>
      <c r="C17" s="23"/>
      <c r="D17" s="23"/>
      <c r="F17" s="828"/>
      <c r="G17" s="69"/>
      <c r="H17" s="213"/>
      <c r="I17" s="862" t="s">
        <v>253</v>
      </c>
      <c r="J17" s="862"/>
      <c r="K17" s="862"/>
      <c r="L17" s="862"/>
      <c r="M17" s="862"/>
      <c r="N17" s="862"/>
      <c r="O17" s="862"/>
      <c r="P17" s="862"/>
      <c r="Q17" s="862"/>
      <c r="R17" s="862"/>
      <c r="S17" s="863"/>
      <c r="T17" s="254"/>
      <c r="W17" s="220"/>
      <c r="X17" s="288" t="s">
        <v>44</v>
      </c>
      <c r="Y17" s="838">
        <v>22</v>
      </c>
      <c r="Z17" s="254"/>
    </row>
    <row r="18" spans="2:30">
      <c r="B18" s="23"/>
      <c r="C18" s="23"/>
      <c r="D18" s="23"/>
      <c r="F18" s="828"/>
      <c r="G18" s="69"/>
      <c r="H18" s="211" t="s">
        <v>254</v>
      </c>
      <c r="I18" s="862" t="s">
        <v>1065</v>
      </c>
      <c r="J18" s="862"/>
      <c r="K18" s="862"/>
      <c r="L18" s="862"/>
      <c r="M18" s="862"/>
      <c r="N18" s="862"/>
      <c r="O18" s="862"/>
      <c r="P18" s="862"/>
      <c r="Q18" s="862"/>
      <c r="R18" s="862"/>
      <c r="S18" s="863"/>
      <c r="T18" s="254"/>
      <c r="W18" s="220"/>
      <c r="X18" s="288" t="s">
        <v>42</v>
      </c>
      <c r="Y18" s="838">
        <v>17</v>
      </c>
      <c r="Z18" s="254"/>
    </row>
    <row r="19" spans="2:30" ht="15.75" customHeight="1" thickBot="1">
      <c r="B19" s="23"/>
      <c r="C19" s="23"/>
      <c r="D19" s="23"/>
      <c r="F19" s="828"/>
      <c r="G19" s="69"/>
      <c r="H19" s="213" t="s">
        <v>256</v>
      </c>
      <c r="I19" s="862" t="s">
        <v>1068</v>
      </c>
      <c r="J19" s="862"/>
      <c r="K19" s="862"/>
      <c r="L19" s="862"/>
      <c r="M19" s="862"/>
      <c r="N19" s="862"/>
      <c r="O19" s="862"/>
      <c r="P19" s="862"/>
      <c r="Q19" s="862"/>
      <c r="R19" s="862"/>
      <c r="S19" s="863"/>
      <c r="T19" s="254"/>
      <c r="W19" s="220"/>
      <c r="X19" s="839" t="s">
        <v>31</v>
      </c>
      <c r="Y19" s="840">
        <v>26</v>
      </c>
      <c r="Z19" s="254"/>
    </row>
    <row r="20" spans="2:30" ht="15.75" customHeight="1" thickBot="1">
      <c r="B20" s="23"/>
      <c r="C20" s="23"/>
      <c r="D20" s="23"/>
      <c r="F20" s="828"/>
      <c r="G20" s="69"/>
      <c r="H20" s="213" t="s">
        <v>279</v>
      </c>
      <c r="I20" s="862" t="s">
        <v>280</v>
      </c>
      <c r="J20" s="862"/>
      <c r="K20" s="862"/>
      <c r="L20" s="862"/>
      <c r="M20" s="862"/>
      <c r="N20" s="862"/>
      <c r="O20" s="862"/>
      <c r="P20" s="862"/>
      <c r="Q20" s="862"/>
      <c r="R20" s="862"/>
      <c r="S20" s="863"/>
      <c r="T20" s="257"/>
      <c r="W20" s="255"/>
      <c r="X20" s="246"/>
      <c r="Y20" s="246"/>
      <c r="Z20" s="256"/>
    </row>
    <row r="21" spans="2:30" ht="15.75" customHeight="1">
      <c r="F21" s="828"/>
      <c r="G21" s="69"/>
      <c r="H21" s="213" t="s">
        <v>1064</v>
      </c>
      <c r="I21" s="862" t="s">
        <v>1071</v>
      </c>
      <c r="J21" s="862"/>
      <c r="K21" s="862"/>
      <c r="L21" s="862"/>
      <c r="M21" s="862"/>
      <c r="N21" s="862"/>
      <c r="O21" s="862"/>
      <c r="P21" s="862"/>
      <c r="Q21" s="862"/>
      <c r="R21" s="862"/>
      <c r="S21" s="863"/>
      <c r="T21" s="254"/>
    </row>
    <row r="22" spans="2:30">
      <c r="F22" s="828"/>
      <c r="G22" s="69"/>
      <c r="H22" s="214" t="s">
        <v>1066</v>
      </c>
      <c r="I22" s="286" t="s">
        <v>1132</v>
      </c>
      <c r="J22" s="286"/>
      <c r="K22" s="286"/>
      <c r="L22" s="286"/>
      <c r="M22" s="286"/>
      <c r="N22" s="286"/>
      <c r="O22" s="286"/>
      <c r="P22" s="286"/>
      <c r="Q22" s="286"/>
      <c r="R22" s="286"/>
      <c r="S22" s="287"/>
      <c r="T22" s="254"/>
    </row>
    <row r="23" spans="2:30">
      <c r="F23" s="828"/>
      <c r="G23" s="69"/>
      <c r="H23" s="214" t="s">
        <v>1070</v>
      </c>
      <c r="I23" s="286" t="s">
        <v>1133</v>
      </c>
      <c r="J23" s="286"/>
      <c r="K23" s="286"/>
      <c r="L23" s="286"/>
      <c r="M23" s="286"/>
      <c r="N23" s="286"/>
      <c r="O23" s="286"/>
      <c r="P23" s="286"/>
      <c r="Q23" s="286"/>
      <c r="R23" s="286"/>
      <c r="S23" s="287"/>
      <c r="T23" s="254"/>
    </row>
    <row r="24" spans="2:30">
      <c r="F24" s="828"/>
      <c r="G24" s="69"/>
      <c r="H24" s="214" t="s">
        <v>1128</v>
      </c>
      <c r="I24" s="286" t="s">
        <v>1127</v>
      </c>
      <c r="J24" s="286"/>
      <c r="K24" s="286"/>
      <c r="L24" s="286"/>
      <c r="M24" s="286"/>
      <c r="N24" s="286"/>
      <c r="O24" s="286"/>
      <c r="P24" s="286"/>
      <c r="Q24" s="286"/>
      <c r="R24" s="286"/>
      <c r="S24" s="287"/>
      <c r="T24" s="254"/>
    </row>
    <row r="25" spans="2:30">
      <c r="F25" s="828"/>
      <c r="G25" s="69"/>
      <c r="H25" s="214" t="s">
        <v>1129</v>
      </c>
      <c r="I25" s="286" t="s">
        <v>1126</v>
      </c>
      <c r="J25" s="286"/>
      <c r="K25" s="286"/>
      <c r="L25" s="286"/>
      <c r="M25" s="286"/>
      <c r="N25" s="286"/>
      <c r="O25" s="286"/>
      <c r="P25" s="286"/>
      <c r="Q25" s="286"/>
      <c r="R25" s="286"/>
      <c r="S25" s="287"/>
      <c r="T25" s="254"/>
    </row>
    <row r="26" spans="2:30">
      <c r="F26" s="828"/>
      <c r="G26" s="69"/>
      <c r="H26" s="214"/>
      <c r="I26" s="286" t="s">
        <v>1134</v>
      </c>
      <c r="J26" s="286"/>
      <c r="K26" s="286"/>
      <c r="L26" s="286"/>
      <c r="M26" s="286"/>
      <c r="N26" s="286"/>
      <c r="O26" s="286"/>
      <c r="P26" s="286"/>
      <c r="Q26" s="286"/>
      <c r="R26" s="286"/>
      <c r="S26" s="287"/>
      <c r="T26" s="254"/>
    </row>
    <row r="27" spans="2:30">
      <c r="F27" s="828"/>
      <c r="G27" s="69"/>
      <c r="H27" s="214" t="s">
        <v>1130</v>
      </c>
      <c r="I27" s="286" t="s">
        <v>255</v>
      </c>
      <c r="J27" s="286"/>
      <c r="K27" s="286"/>
      <c r="L27" s="286"/>
      <c r="M27" s="286"/>
      <c r="N27" s="286"/>
      <c r="O27" s="286"/>
      <c r="P27" s="286"/>
      <c r="Q27" s="286"/>
      <c r="R27" s="286"/>
      <c r="S27" s="287"/>
      <c r="T27" s="254"/>
    </row>
    <row r="28" spans="2:30" ht="15.75" thickBot="1">
      <c r="F28" s="828"/>
      <c r="G28" s="69"/>
      <c r="H28" s="825" t="s">
        <v>1131</v>
      </c>
      <c r="I28" s="826" t="s">
        <v>257</v>
      </c>
      <c r="J28" s="826"/>
      <c r="K28" s="826"/>
      <c r="L28" s="826"/>
      <c r="M28" s="826"/>
      <c r="N28" s="826"/>
      <c r="O28" s="826"/>
      <c r="P28" s="826"/>
      <c r="Q28" s="826"/>
      <c r="R28" s="826"/>
      <c r="S28" s="827"/>
      <c r="T28" s="254"/>
    </row>
    <row r="29" spans="2:30" ht="6" customHeight="1" thickBot="1">
      <c r="F29" s="828"/>
      <c r="G29" s="246"/>
      <c r="H29" s="246"/>
      <c r="I29" s="246"/>
      <c r="J29" s="246"/>
      <c r="K29" s="246"/>
      <c r="L29" s="246"/>
      <c r="M29" s="246"/>
      <c r="N29" s="246"/>
      <c r="O29" s="246"/>
      <c r="P29" s="246"/>
      <c r="Q29" s="246"/>
      <c r="R29" s="246"/>
      <c r="S29" s="246"/>
      <c r="T29" s="256"/>
      <c r="W29" s="23"/>
      <c r="X29" s="23"/>
      <c r="Y29" s="23"/>
      <c r="Z29" s="23"/>
    </row>
    <row r="30" spans="2:30">
      <c r="W30" s="23"/>
      <c r="X30" s="865"/>
      <c r="Y30" s="865"/>
      <c r="Z30" s="23"/>
    </row>
    <row r="31" spans="2:30">
      <c r="W31" s="23"/>
      <c r="X31" s="850"/>
      <c r="Y31" s="850"/>
      <c r="Z31" s="23"/>
    </row>
    <row r="32" spans="2:30">
      <c r="W32" s="23"/>
      <c r="X32" s="866" t="s">
        <v>1115</v>
      </c>
      <c r="Y32" s="866"/>
      <c r="Z32" s="866"/>
      <c r="AA32" s="866"/>
      <c r="AB32" s="866"/>
      <c r="AC32" s="866"/>
      <c r="AD32" s="866"/>
    </row>
    <row r="33" spans="10:26">
      <c r="J33" s="866"/>
      <c r="K33" s="866"/>
      <c r="L33" s="866"/>
      <c r="M33" s="866"/>
      <c r="N33" s="866"/>
      <c r="O33" s="866"/>
      <c r="P33" s="866"/>
      <c r="W33" s="23"/>
      <c r="X33" s="867" t="s">
        <v>1116</v>
      </c>
      <c r="Y33" s="867"/>
    </row>
    <row r="34" spans="10:26">
      <c r="J34" s="867"/>
      <c r="K34" s="867"/>
      <c r="W34" s="23"/>
      <c r="X34" s="868" t="s">
        <v>1135</v>
      </c>
      <c r="Y34" s="868"/>
    </row>
    <row r="35" spans="10:26">
      <c r="J35" s="868"/>
      <c r="K35" s="868"/>
      <c r="W35" s="23"/>
      <c r="X35" s="216"/>
      <c r="Y35" s="853"/>
      <c r="Z35" s="216"/>
    </row>
    <row r="36" spans="10:26">
      <c r="W36" s="23"/>
      <c r="X36" s="865"/>
      <c r="Y36" s="865"/>
      <c r="Z36" s="216"/>
    </row>
    <row r="37" spans="10:26">
      <c r="W37" s="23"/>
      <c r="X37" s="216"/>
      <c r="Y37" s="853"/>
      <c r="Z37" s="216"/>
    </row>
    <row r="38" spans="10:26">
      <c r="W38" s="23"/>
      <c r="X38" s="216"/>
      <c r="Y38" s="853"/>
      <c r="Z38" s="216"/>
    </row>
    <row r="39" spans="10:26">
      <c r="W39" s="23"/>
      <c r="X39" s="216"/>
      <c r="Y39" s="853"/>
      <c r="Z39" s="216"/>
    </row>
    <row r="40" spans="10:26">
      <c r="W40" s="23"/>
      <c r="X40" s="23"/>
      <c r="Y40" s="23"/>
      <c r="Z40" s="23"/>
    </row>
  </sheetData>
  <mergeCells count="28">
    <mergeCell ref="AC4:AD4"/>
    <mergeCell ref="AC10:AD10"/>
    <mergeCell ref="X32:AD32"/>
    <mergeCell ref="X33:Y33"/>
    <mergeCell ref="X34:Y34"/>
    <mergeCell ref="X30:Y30"/>
    <mergeCell ref="X36:Y36"/>
    <mergeCell ref="J33:P33"/>
    <mergeCell ref="J34:K34"/>
    <mergeCell ref="J35:K35"/>
    <mergeCell ref="X4:Y4"/>
    <mergeCell ref="I4:K4"/>
    <mergeCell ref="I8:K8"/>
    <mergeCell ref="I11:S11"/>
    <mergeCell ref="I12:S12"/>
    <mergeCell ref="I21:S21"/>
    <mergeCell ref="I20:S20"/>
    <mergeCell ref="I5:K7"/>
    <mergeCell ref="H9:S9"/>
    <mergeCell ref="I10:S10"/>
    <mergeCell ref="I18:S18"/>
    <mergeCell ref="I19:S19"/>
    <mergeCell ref="I17:S17"/>
    <mergeCell ref="M5:R7"/>
    <mergeCell ref="I13:S13"/>
    <mergeCell ref="I14:S14"/>
    <mergeCell ref="I16:S16"/>
    <mergeCell ref="I15:S15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B2:Y84"/>
  <sheetViews>
    <sheetView topLeftCell="A19" workbookViewId="0">
      <selection activeCell="F16" sqref="F16"/>
    </sheetView>
  </sheetViews>
  <sheetFormatPr defaultRowHeight="15"/>
  <cols>
    <col min="2" max="3" width="2.7109375" customWidth="1"/>
    <col min="5" max="5" width="23.28515625" customWidth="1"/>
    <col min="6" max="6" width="7.7109375" customWidth="1"/>
    <col min="7" max="7" width="2.7109375" customWidth="1"/>
    <col min="12" max="12" width="10.28515625" customWidth="1"/>
    <col min="14" max="14" width="2.7109375" customWidth="1"/>
    <col min="17" max="17" width="17" customWidth="1"/>
    <col min="18" max="18" width="14" customWidth="1"/>
    <col min="19" max="19" width="14.28515625" customWidth="1"/>
    <col min="20" max="20" width="11.85546875" customWidth="1"/>
    <col min="21" max="21" width="12.7109375" customWidth="1"/>
    <col min="22" max="22" width="14.85546875" customWidth="1"/>
    <col min="23" max="23" width="11" customWidth="1"/>
    <col min="24" max="24" width="2.7109375" customWidth="1"/>
  </cols>
  <sheetData>
    <row r="2" spans="2:25">
      <c r="B2" s="4"/>
      <c r="C2" s="5"/>
      <c r="D2" s="5"/>
      <c r="E2" s="5"/>
      <c r="F2" s="5"/>
      <c r="G2" s="6"/>
      <c r="H2" s="23"/>
      <c r="I2" s="23"/>
      <c r="J2" s="23"/>
      <c r="K2" s="23"/>
      <c r="L2" s="23"/>
      <c r="M2" s="23"/>
      <c r="N2" s="23"/>
    </row>
    <row r="3" spans="2:25" ht="15.75" thickBot="1">
      <c r="B3" s="7"/>
      <c r="C3" s="3"/>
      <c r="D3" s="3"/>
      <c r="E3" s="10" t="s">
        <v>18</v>
      </c>
      <c r="F3" s="3"/>
      <c r="G3" s="8"/>
      <c r="H3" s="23"/>
      <c r="I3" s="23"/>
      <c r="J3" s="23"/>
      <c r="K3" s="23"/>
      <c r="L3" s="23"/>
      <c r="M3" s="23"/>
      <c r="N3" s="23"/>
    </row>
    <row r="4" spans="2:25">
      <c r="B4" s="7"/>
      <c r="C4" s="873"/>
      <c r="D4" s="874"/>
      <c r="E4" s="874"/>
      <c r="F4" s="875"/>
      <c r="G4" s="8"/>
      <c r="H4" s="23"/>
      <c r="I4" s="23"/>
      <c r="J4" s="23"/>
      <c r="K4" s="23"/>
      <c r="L4" s="23"/>
      <c r="M4" s="23"/>
      <c r="N4" s="23"/>
    </row>
    <row r="5" spans="2:25" ht="23.25">
      <c r="B5" s="7"/>
      <c r="C5" s="876"/>
      <c r="D5" s="877"/>
      <c r="E5" s="877"/>
      <c r="F5" s="878"/>
      <c r="G5" s="26"/>
      <c r="H5" s="25"/>
      <c r="I5" s="25"/>
      <c r="J5" s="25"/>
      <c r="K5" s="25"/>
      <c r="L5" s="25"/>
      <c r="M5" s="25"/>
      <c r="N5" s="25"/>
    </row>
    <row r="6" spans="2:25" ht="15.75" thickBot="1">
      <c r="B6" s="7"/>
      <c r="C6" s="879"/>
      <c r="D6" s="880"/>
      <c r="E6" s="880"/>
      <c r="F6" s="881"/>
      <c r="G6" s="8"/>
      <c r="H6" s="23"/>
      <c r="I6" s="23"/>
      <c r="J6" s="23"/>
      <c r="K6" s="23"/>
      <c r="L6" s="23"/>
      <c r="M6" s="23"/>
      <c r="N6" s="28"/>
      <c r="O6" s="29"/>
      <c r="P6" s="29"/>
      <c r="Q6" s="29"/>
      <c r="R6" s="29"/>
      <c r="S6" s="29"/>
      <c r="T6" s="29"/>
      <c r="U6" s="29"/>
      <c r="V6" s="29"/>
      <c r="W6" s="29"/>
      <c r="X6" s="30"/>
    </row>
    <row r="7" spans="2:25">
      <c r="B7" s="7"/>
      <c r="C7" s="871" t="s">
        <v>1138</v>
      </c>
      <c r="D7" s="871"/>
      <c r="E7" s="871"/>
      <c r="F7" s="871"/>
      <c r="G7" s="8"/>
      <c r="H7" s="23"/>
      <c r="I7" s="23"/>
      <c r="J7" s="23"/>
      <c r="K7" s="23"/>
      <c r="L7" s="23"/>
      <c r="M7" s="23"/>
      <c r="N7" s="44"/>
      <c r="O7" s="941" t="s">
        <v>46</v>
      </c>
      <c r="P7" s="941"/>
      <c r="Q7" s="941"/>
      <c r="R7" s="941"/>
      <c r="S7" s="941"/>
      <c r="T7" s="941"/>
      <c r="U7" s="941"/>
      <c r="V7" s="941"/>
      <c r="W7" s="941"/>
      <c r="X7" s="44"/>
      <c r="Y7" s="72" t="s">
        <v>73</v>
      </c>
    </row>
    <row r="8" spans="2:25">
      <c r="B8" s="7"/>
      <c r="C8" s="940" t="s">
        <v>1139</v>
      </c>
      <c r="D8" s="940"/>
      <c r="E8" s="940"/>
      <c r="F8" s="940"/>
      <c r="G8" s="8"/>
      <c r="H8" s="23"/>
      <c r="I8" s="23"/>
      <c r="J8" s="23"/>
      <c r="K8" s="23"/>
      <c r="L8" s="23"/>
      <c r="M8" s="23"/>
      <c r="N8" s="34"/>
      <c r="O8" s="66"/>
      <c r="P8" s="53"/>
      <c r="Q8" s="53"/>
      <c r="R8" s="53"/>
      <c r="S8" s="890"/>
      <c r="T8" s="890"/>
      <c r="U8" s="890"/>
      <c r="V8" s="890"/>
      <c r="W8" s="891"/>
      <c r="X8" s="34"/>
      <c r="Y8" s="72"/>
    </row>
    <row r="9" spans="2:25">
      <c r="B9" s="57"/>
      <c r="C9" s="56"/>
      <c r="D9" s="53"/>
      <c r="E9" s="53"/>
      <c r="F9" s="53"/>
      <c r="G9" s="48"/>
      <c r="H9" s="23"/>
      <c r="I9" s="23"/>
      <c r="J9" s="23"/>
      <c r="K9" s="23"/>
      <c r="L9" s="23"/>
      <c r="M9" s="23"/>
      <c r="N9" s="34"/>
      <c r="O9" s="922" t="s">
        <v>47</v>
      </c>
      <c r="P9" s="936"/>
      <c r="Q9" s="920"/>
      <c r="R9" s="16">
        <f>(F28*F29)+(F30*F31)</f>
        <v>694.4</v>
      </c>
      <c r="S9" s="892"/>
      <c r="T9" s="892"/>
      <c r="U9" s="892"/>
      <c r="V9" s="892"/>
      <c r="W9" s="893"/>
      <c r="X9" s="34"/>
      <c r="Y9" s="72"/>
    </row>
    <row r="10" spans="2:25">
      <c r="B10" s="50"/>
      <c r="C10" s="9" t="s">
        <v>2</v>
      </c>
      <c r="D10" s="945" t="s">
        <v>0</v>
      </c>
      <c r="E10" s="945"/>
      <c r="F10" s="27"/>
      <c r="G10" s="49"/>
      <c r="H10" s="23"/>
      <c r="I10" s="23"/>
      <c r="J10" s="23"/>
      <c r="K10" s="23"/>
      <c r="L10" s="23"/>
      <c r="M10" s="23"/>
      <c r="N10" s="34"/>
      <c r="O10" s="922" t="s">
        <v>48</v>
      </c>
      <c r="P10" s="936"/>
      <c r="Q10" s="920"/>
      <c r="R10" s="16">
        <f>(R9*S45)*S48</f>
        <v>17359.999999999996</v>
      </c>
      <c r="S10" s="892"/>
      <c r="T10" s="892"/>
      <c r="U10" s="892"/>
      <c r="V10" s="892"/>
      <c r="W10" s="893"/>
      <c r="X10" s="34"/>
      <c r="Y10" s="72"/>
    </row>
    <row r="11" spans="2:25">
      <c r="B11" s="50"/>
      <c r="C11" s="926" t="s">
        <v>4</v>
      </c>
      <c r="D11" s="927"/>
      <c r="E11" s="927"/>
      <c r="F11" s="22" t="s">
        <v>3</v>
      </c>
      <c r="G11" s="49"/>
      <c r="H11" s="23"/>
      <c r="I11" s="23"/>
      <c r="J11" s="23"/>
      <c r="K11" s="23"/>
      <c r="L11" s="23"/>
      <c r="M11" s="23"/>
      <c r="N11" s="34"/>
      <c r="O11" s="66"/>
      <c r="P11" s="53"/>
      <c r="Q11" s="53"/>
      <c r="R11" s="53"/>
      <c r="S11" s="892"/>
      <c r="T11" s="892"/>
      <c r="U11" s="892"/>
      <c r="V11" s="892"/>
      <c r="W11" s="893"/>
      <c r="X11" s="34"/>
      <c r="Y11" s="72"/>
    </row>
    <row r="12" spans="2:25">
      <c r="B12" s="50"/>
      <c r="C12" s="16"/>
      <c r="D12" s="12" t="s">
        <v>1</v>
      </c>
      <c r="E12" s="12"/>
      <c r="F12" s="17">
        <v>246.92</v>
      </c>
      <c r="G12" s="49"/>
      <c r="H12" s="935" t="str">
        <f>IF((F12/F32)&gt;1.8,"Baldrame e Tamanho da Casa são incompatíveis","")</f>
        <v/>
      </c>
      <c r="I12" s="935"/>
      <c r="J12" s="935"/>
      <c r="K12" s="935"/>
      <c r="L12" s="935"/>
      <c r="M12" s="23"/>
      <c r="N12" s="34"/>
      <c r="O12" s="908" t="s">
        <v>50</v>
      </c>
      <c r="P12" s="929"/>
      <c r="Q12" s="909"/>
      <c r="R12" s="16">
        <f>(3.1415*((F24/2)^2))*F25</f>
        <v>0.15550425000000001</v>
      </c>
      <c r="S12" s="892"/>
      <c r="T12" s="892"/>
      <c r="U12" s="892"/>
      <c r="V12" s="892"/>
      <c r="W12" s="893"/>
      <c r="X12" s="34"/>
      <c r="Y12" s="72"/>
    </row>
    <row r="13" spans="2:25">
      <c r="B13" s="50"/>
      <c r="C13" s="16"/>
      <c r="D13" s="12" t="s">
        <v>5</v>
      </c>
      <c r="E13" s="12"/>
      <c r="F13" s="17">
        <v>4</v>
      </c>
      <c r="G13" s="49"/>
      <c r="H13" s="934" t="str">
        <f>IF(F13&lt;1,"Digite a quantidade de Banheiros","")</f>
        <v/>
      </c>
      <c r="I13" s="934"/>
      <c r="J13" s="934"/>
      <c r="K13" s="934"/>
      <c r="L13" s="934"/>
      <c r="M13" s="23"/>
      <c r="N13" s="34"/>
      <c r="O13" s="908" t="s">
        <v>49</v>
      </c>
      <c r="P13" s="929"/>
      <c r="Q13" s="909"/>
      <c r="R13" s="16">
        <f>R12*F22*S49</f>
        <v>5.1316402500000011</v>
      </c>
      <c r="S13" s="892"/>
      <c r="T13" s="892"/>
      <c r="U13" s="892"/>
      <c r="V13" s="892"/>
      <c r="W13" s="893"/>
      <c r="X13" s="34"/>
      <c r="Y13" s="72"/>
    </row>
    <row r="14" spans="2:25">
      <c r="B14" s="50"/>
      <c r="C14" s="16"/>
      <c r="D14" s="11" t="s">
        <v>6</v>
      </c>
      <c r="E14" s="12"/>
      <c r="F14" s="17">
        <v>1</v>
      </c>
      <c r="G14" s="49"/>
      <c r="H14" s="935"/>
      <c r="I14" s="935"/>
      <c r="J14" s="935"/>
      <c r="K14" s="935"/>
      <c r="L14" s="935"/>
      <c r="M14" s="23"/>
      <c r="N14" s="34"/>
      <c r="O14" s="914" t="s">
        <v>51</v>
      </c>
      <c r="P14" s="915"/>
      <c r="Q14" s="916"/>
      <c r="R14" s="58">
        <f>(F26*F27)*F32</f>
        <v>13.62</v>
      </c>
      <c r="S14" s="892"/>
      <c r="T14" s="892"/>
      <c r="U14" s="892"/>
      <c r="V14" s="892"/>
      <c r="W14" s="893"/>
      <c r="X14" s="34"/>
      <c r="Y14" s="72"/>
    </row>
    <row r="15" spans="2:25">
      <c r="B15" s="50"/>
      <c r="C15" s="19"/>
      <c r="D15" s="908" t="s">
        <v>1072</v>
      </c>
      <c r="E15" s="929"/>
      <c r="F15" s="17">
        <v>2</v>
      </c>
      <c r="G15" s="49"/>
      <c r="H15" s="934" t="str">
        <f>IF(F15&lt;1,"Digite a quantidade de Cozinhas","")</f>
        <v/>
      </c>
      <c r="I15" s="934"/>
      <c r="J15" s="934"/>
      <c r="K15" s="934"/>
      <c r="L15" s="934"/>
      <c r="M15" s="23"/>
      <c r="N15" s="34"/>
      <c r="O15" s="66"/>
      <c r="P15" s="53"/>
      <c r="Q15" s="53"/>
      <c r="R15" s="53"/>
      <c r="S15" s="894"/>
      <c r="T15" s="894"/>
      <c r="U15" s="894"/>
      <c r="V15" s="894"/>
      <c r="W15" s="895"/>
      <c r="X15" s="34"/>
      <c r="Y15" s="72"/>
    </row>
    <row r="16" spans="2:25">
      <c r="B16" s="50"/>
      <c r="C16" s="19"/>
      <c r="D16" s="908" t="s">
        <v>7</v>
      </c>
      <c r="E16" s="929"/>
      <c r="F16" s="17">
        <v>1</v>
      </c>
      <c r="G16" s="49"/>
      <c r="H16" s="934" t="str">
        <f>IF(F16&lt;1,"Digite a quantidade de Áreas de Serviço","")</f>
        <v/>
      </c>
      <c r="I16" s="934"/>
      <c r="J16" s="934"/>
      <c r="K16" s="934"/>
      <c r="L16" s="934"/>
      <c r="M16" s="23"/>
      <c r="N16" s="34"/>
      <c r="O16" s="937" t="s">
        <v>52</v>
      </c>
      <c r="P16" s="938"/>
      <c r="Q16" s="938"/>
      <c r="R16" s="939"/>
      <c r="S16" s="38" t="s">
        <v>56</v>
      </c>
      <c r="T16" s="38" t="s">
        <v>57</v>
      </c>
      <c r="U16" s="38" t="s">
        <v>58</v>
      </c>
      <c r="V16" s="38" t="s">
        <v>59</v>
      </c>
      <c r="W16" s="38" t="s">
        <v>60</v>
      </c>
      <c r="X16" s="34"/>
      <c r="Y16" s="72"/>
    </row>
    <row r="17" spans="2:25">
      <c r="B17" s="50"/>
      <c r="C17" s="19"/>
      <c r="D17" s="908" t="s">
        <v>8</v>
      </c>
      <c r="E17" s="929"/>
      <c r="F17" s="17">
        <v>3</v>
      </c>
      <c r="G17" s="49"/>
      <c r="H17" s="935"/>
      <c r="I17" s="935"/>
      <c r="J17" s="935"/>
      <c r="K17" s="935"/>
      <c r="L17" s="935"/>
      <c r="M17" s="23"/>
      <c r="N17" s="34"/>
      <c r="O17" s="908" t="s">
        <v>53</v>
      </c>
      <c r="P17" s="929"/>
      <c r="Q17" s="929"/>
      <c r="R17" s="929"/>
      <c r="S17" s="16">
        <v>7</v>
      </c>
      <c r="T17" s="67">
        <v>0.25666666666666665</v>
      </c>
      <c r="U17" s="67">
        <v>0</v>
      </c>
      <c r="V17" s="67">
        <v>0.375</v>
      </c>
      <c r="W17" s="67">
        <v>0.375</v>
      </c>
      <c r="X17" s="31"/>
      <c r="Y17" s="72"/>
    </row>
    <row r="18" spans="2:25">
      <c r="B18" s="50"/>
      <c r="C18" s="36"/>
      <c r="D18" s="908" t="s">
        <v>9</v>
      </c>
      <c r="E18" s="929"/>
      <c r="F18" s="18">
        <v>3</v>
      </c>
      <c r="G18" s="50"/>
      <c r="H18" s="934" t="str">
        <f>IF(F18&lt;1,"Incluir Jantar, Estar, TV e outros","")</f>
        <v/>
      </c>
      <c r="I18" s="934"/>
      <c r="J18" s="934"/>
      <c r="K18" s="934"/>
      <c r="L18" s="934"/>
      <c r="M18" s="23"/>
      <c r="N18" s="34"/>
      <c r="O18" s="908" t="s">
        <v>54</v>
      </c>
      <c r="P18" s="929"/>
      <c r="Q18" s="929"/>
      <c r="R18" s="929"/>
      <c r="S18" s="16">
        <v>7</v>
      </c>
      <c r="T18" s="67">
        <v>0.25666666666666665</v>
      </c>
      <c r="U18" s="67">
        <v>0.75</v>
      </c>
      <c r="V18" s="67">
        <v>0</v>
      </c>
      <c r="W18" s="67">
        <v>0</v>
      </c>
      <c r="X18" s="31"/>
      <c r="Y18" s="72"/>
    </row>
    <row r="19" spans="2:25">
      <c r="B19" s="54"/>
      <c r="C19" s="53"/>
      <c r="D19" s="55"/>
      <c r="E19" s="55"/>
      <c r="F19" s="55"/>
      <c r="G19" s="49"/>
      <c r="H19" s="1"/>
      <c r="I19" s="1"/>
      <c r="J19" s="1"/>
      <c r="K19" s="1"/>
      <c r="L19" s="1"/>
      <c r="N19" s="34"/>
      <c r="O19" s="911" t="s">
        <v>55</v>
      </c>
      <c r="P19" s="912"/>
      <c r="Q19" s="912"/>
      <c r="R19" s="912"/>
      <c r="S19" s="16">
        <v>10</v>
      </c>
      <c r="T19" s="67">
        <v>0.3666666666666667</v>
      </c>
      <c r="U19" s="67">
        <v>0</v>
      </c>
      <c r="V19" s="67">
        <v>0.3666666666666667</v>
      </c>
      <c r="W19" s="67">
        <v>0.45833333333333337</v>
      </c>
      <c r="X19" s="31"/>
      <c r="Y19" s="72"/>
    </row>
    <row r="20" spans="2:25">
      <c r="B20" s="50"/>
      <c r="C20" s="9" t="s">
        <v>10</v>
      </c>
      <c r="D20" s="13" t="s">
        <v>11</v>
      </c>
      <c r="E20" s="14"/>
      <c r="F20" s="2"/>
      <c r="G20" s="49"/>
      <c r="H20" s="1"/>
      <c r="I20" s="1"/>
      <c r="J20" s="1"/>
      <c r="K20" s="1"/>
      <c r="L20" s="1"/>
      <c r="N20" s="34"/>
      <c r="O20" s="896"/>
      <c r="P20" s="897"/>
      <c r="Q20" s="897"/>
      <c r="R20" s="897"/>
      <c r="S20" s="68"/>
      <c r="T20" s="68"/>
      <c r="U20" s="68"/>
      <c r="V20" s="68"/>
      <c r="W20" s="897"/>
      <c r="X20" s="34"/>
      <c r="Y20" s="72"/>
    </row>
    <row r="21" spans="2:25">
      <c r="B21" s="50"/>
      <c r="C21" s="926" t="s">
        <v>4</v>
      </c>
      <c r="D21" s="927"/>
      <c r="E21" s="927"/>
      <c r="F21" s="22" t="s">
        <v>3</v>
      </c>
      <c r="G21" s="49"/>
      <c r="H21" s="1"/>
      <c r="I21" s="1"/>
      <c r="J21" s="1"/>
      <c r="K21" s="1"/>
      <c r="L21" s="1"/>
      <c r="N21" s="34"/>
      <c r="O21" s="898"/>
      <c r="P21" s="899"/>
      <c r="Q21" s="899"/>
      <c r="R21" s="899"/>
      <c r="S21" s="20" t="s">
        <v>74</v>
      </c>
      <c r="T21" s="20" t="s">
        <v>1073</v>
      </c>
      <c r="U21" s="20" t="s">
        <v>1074</v>
      </c>
      <c r="V21" s="20" t="s">
        <v>75</v>
      </c>
      <c r="W21" s="900"/>
      <c r="X21" s="34"/>
      <c r="Y21" s="72"/>
    </row>
    <row r="22" spans="2:25">
      <c r="B22" s="50"/>
      <c r="C22" s="16"/>
      <c r="D22" s="908" t="s">
        <v>12</v>
      </c>
      <c r="E22" s="909"/>
      <c r="F22" s="20">
        <v>30</v>
      </c>
      <c r="G22" s="49"/>
      <c r="H22" s="935"/>
      <c r="I22" s="935"/>
      <c r="J22" s="935"/>
      <c r="K22" s="935"/>
      <c r="L22" s="935"/>
      <c r="N22" s="34"/>
      <c r="O22" s="926" t="s">
        <v>61</v>
      </c>
      <c r="P22" s="927"/>
      <c r="Q22" s="927"/>
      <c r="R22" s="928"/>
      <c r="S22" s="20"/>
      <c r="T22" s="20"/>
      <c r="U22" s="20"/>
      <c r="V22" s="20"/>
      <c r="W22" s="900"/>
      <c r="X22" s="34"/>
      <c r="Y22" s="72"/>
    </row>
    <row r="23" spans="2:25">
      <c r="B23" s="50"/>
      <c r="C23" s="16"/>
      <c r="D23" s="908" t="s">
        <v>13</v>
      </c>
      <c r="E23" s="909"/>
      <c r="F23" s="20">
        <v>29</v>
      </c>
      <c r="G23" s="49"/>
      <c r="H23" s="935"/>
      <c r="I23" s="935"/>
      <c r="J23" s="935"/>
      <c r="K23" s="935"/>
      <c r="L23" s="935"/>
      <c r="N23" s="34"/>
      <c r="O23" s="908" t="s">
        <v>62</v>
      </c>
      <c r="P23" s="929"/>
      <c r="Q23" s="929"/>
      <c r="R23" s="909"/>
      <c r="S23" s="16">
        <f>(R9*S56)/S53</f>
        <v>106.83076923076922</v>
      </c>
      <c r="T23" s="16">
        <f>(S23/S18)*U18</f>
        <v>11.446153846153845</v>
      </c>
      <c r="U23" s="16">
        <f>(S23/S18)*V18</f>
        <v>0</v>
      </c>
      <c r="V23" s="16">
        <f>(S23/S18)*W18</f>
        <v>0</v>
      </c>
      <c r="W23" s="900"/>
      <c r="X23" s="34"/>
      <c r="Y23" s="72"/>
    </row>
    <row r="24" spans="2:25">
      <c r="B24" s="50"/>
      <c r="C24" s="16"/>
      <c r="D24" s="908" t="s">
        <v>14</v>
      </c>
      <c r="E24" s="909"/>
      <c r="F24" s="20">
        <v>0.3</v>
      </c>
      <c r="G24" s="49"/>
      <c r="H24" s="935" t="str">
        <f>IF(F24&lt;0.15,"Verifique a Espessura das Estacas","")</f>
        <v/>
      </c>
      <c r="I24" s="935"/>
      <c r="J24" s="935"/>
      <c r="K24" s="935"/>
      <c r="L24" s="935"/>
      <c r="N24" s="34"/>
      <c r="O24" s="908" t="s">
        <v>64</v>
      </c>
      <c r="P24" s="929"/>
      <c r="Q24" s="929"/>
      <c r="R24" s="909"/>
      <c r="S24" s="16">
        <f>F12*0.06</f>
        <v>14.815199999999999</v>
      </c>
      <c r="T24" s="16">
        <f>(S24/S18)*U18</f>
        <v>1.5873428571428569</v>
      </c>
      <c r="U24" s="16">
        <f>(S24/S18)*V18</f>
        <v>0</v>
      </c>
      <c r="V24" s="16">
        <f>(S24/S18)*W18</f>
        <v>0</v>
      </c>
      <c r="W24" s="900"/>
      <c r="X24" s="34"/>
      <c r="Y24" s="73" t="s">
        <v>65</v>
      </c>
    </row>
    <row r="25" spans="2:25">
      <c r="B25" s="50"/>
      <c r="C25" s="16"/>
      <c r="D25" s="911" t="s">
        <v>15</v>
      </c>
      <c r="E25" s="913"/>
      <c r="F25" s="20">
        <v>2.2000000000000002</v>
      </c>
      <c r="G25" s="49"/>
      <c r="H25" s="935" t="str">
        <f>IF(F25&lt;0.6,"Verifique a Profundidade das Estacas","")</f>
        <v/>
      </c>
      <c r="I25" s="935"/>
      <c r="J25" s="935"/>
      <c r="K25" s="935"/>
      <c r="L25" s="935"/>
      <c r="N25" s="34"/>
      <c r="O25" s="908" t="s">
        <v>63</v>
      </c>
      <c r="P25" s="929"/>
      <c r="Q25" s="929"/>
      <c r="R25" s="909"/>
      <c r="S25" s="16">
        <f>(R9/S54)</f>
        <v>138.88</v>
      </c>
      <c r="T25" s="16">
        <f>(S25/S18)*U18</f>
        <v>14.879999999999999</v>
      </c>
      <c r="U25" s="16">
        <f>(S25/S18)*V18</f>
        <v>0</v>
      </c>
      <c r="V25" s="16">
        <f>(S25/S18)*W18</f>
        <v>0</v>
      </c>
      <c r="W25" s="900"/>
      <c r="X25" s="34"/>
      <c r="Y25" s="72"/>
    </row>
    <row r="26" spans="2:25">
      <c r="B26" s="50"/>
      <c r="C26" s="16"/>
      <c r="D26" s="908" t="s">
        <v>16</v>
      </c>
      <c r="E26" s="909"/>
      <c r="F26" s="20">
        <v>0.25</v>
      </c>
      <c r="G26" s="49"/>
      <c r="H26" s="935" t="str">
        <f>IF(F26&lt;0.18,"Verifique a Altura das Vigas","")</f>
        <v/>
      </c>
      <c r="I26" s="935"/>
      <c r="J26" s="935"/>
      <c r="K26" s="935"/>
      <c r="L26" s="935"/>
      <c r="N26" s="34"/>
      <c r="O26" s="926" t="s">
        <v>66</v>
      </c>
      <c r="P26" s="927"/>
      <c r="Q26" s="927"/>
      <c r="R26" s="928"/>
      <c r="S26" s="20"/>
      <c r="T26" s="20"/>
      <c r="U26" s="20"/>
      <c r="V26" s="20"/>
      <c r="W26" s="900"/>
      <c r="X26" s="34"/>
      <c r="Y26" s="72"/>
    </row>
    <row r="27" spans="2:25">
      <c r="B27" s="50"/>
      <c r="C27" s="16"/>
      <c r="D27" s="908" t="s">
        <v>17</v>
      </c>
      <c r="E27" s="909"/>
      <c r="F27" s="20">
        <v>0.2</v>
      </c>
      <c r="G27" s="49"/>
      <c r="H27" s="935" t="str">
        <f>IF(F28&lt;0.18,"Verifique a Largura das Vigas","")</f>
        <v/>
      </c>
      <c r="I27" s="935"/>
      <c r="J27" s="935"/>
      <c r="K27" s="935"/>
      <c r="L27" s="935"/>
      <c r="N27" s="34"/>
      <c r="O27" s="908" t="s">
        <v>67</v>
      </c>
      <c r="P27" s="929"/>
      <c r="Q27" s="929"/>
      <c r="R27" s="909"/>
      <c r="S27" s="16">
        <f>S17*R13</f>
        <v>35.921481750000005</v>
      </c>
      <c r="T27" s="16">
        <f>(S27/S17)*U17</f>
        <v>0</v>
      </c>
      <c r="U27" s="16">
        <f>(S27/S17)*V17</f>
        <v>1.9243650937500005</v>
      </c>
      <c r="V27" s="16">
        <f>(S27/S17)*W17</f>
        <v>1.9243650937500005</v>
      </c>
      <c r="W27" s="900"/>
      <c r="X27" s="34"/>
      <c r="Y27" s="72"/>
    </row>
    <row r="28" spans="2:25">
      <c r="B28" s="50"/>
      <c r="C28" s="16"/>
      <c r="D28" s="908" t="s">
        <v>19</v>
      </c>
      <c r="E28" s="909"/>
      <c r="F28" s="20">
        <v>67</v>
      </c>
      <c r="G28" s="49"/>
      <c r="H28" s="935"/>
      <c r="I28" s="935"/>
      <c r="J28" s="935"/>
      <c r="K28" s="935"/>
      <c r="L28" s="935"/>
      <c r="N28" s="34"/>
      <c r="O28" s="911" t="s">
        <v>68</v>
      </c>
      <c r="P28" s="912"/>
      <c r="Q28" s="912"/>
      <c r="R28" s="913"/>
      <c r="S28" s="16">
        <f>R14*S17</f>
        <v>95.339999999999989</v>
      </c>
      <c r="T28" s="16">
        <f>(S28/S17)*U17</f>
        <v>0</v>
      </c>
      <c r="U28" s="16">
        <f>(S28/S17)*V17</f>
        <v>5.1074999999999999</v>
      </c>
      <c r="V28" s="16">
        <f>(S28/S17)*W17</f>
        <v>5.1074999999999999</v>
      </c>
      <c r="W28" s="900"/>
      <c r="X28" s="34"/>
      <c r="Y28" s="72"/>
    </row>
    <row r="29" spans="2:25">
      <c r="B29" s="50"/>
      <c r="C29" s="16"/>
      <c r="D29" s="908" t="s">
        <v>20</v>
      </c>
      <c r="E29" s="909"/>
      <c r="F29" s="20">
        <v>3.2</v>
      </c>
      <c r="G29" s="49"/>
      <c r="H29" s="935" t="str">
        <f>IF(F29&lt;2.5,"Esta casa não será aprovada pela caixa. Min 2,5","")</f>
        <v/>
      </c>
      <c r="I29" s="935"/>
      <c r="J29" s="935"/>
      <c r="K29" s="935"/>
      <c r="L29" s="935"/>
      <c r="N29" s="34"/>
      <c r="O29" s="908" t="s">
        <v>69</v>
      </c>
      <c r="P29" s="929"/>
      <c r="Q29" s="929"/>
      <c r="R29" s="909"/>
      <c r="S29" s="16">
        <f>S25*0.03</f>
        <v>4.1663999999999994</v>
      </c>
      <c r="T29" s="16">
        <f>(S29/S17)*U17</f>
        <v>0</v>
      </c>
      <c r="U29" s="16">
        <f>(S29/S17)*V17</f>
        <v>0.22319999999999998</v>
      </c>
      <c r="V29" s="16">
        <f>(S29/S17)*W17</f>
        <v>0.22319999999999998</v>
      </c>
      <c r="W29" s="900"/>
      <c r="X29" s="34"/>
      <c r="Y29" s="72"/>
    </row>
    <row r="30" spans="2:25">
      <c r="B30" s="50"/>
      <c r="C30" s="16"/>
      <c r="D30" s="908" t="s">
        <v>21</v>
      </c>
      <c r="E30" s="909"/>
      <c r="F30" s="20">
        <v>160</v>
      </c>
      <c r="G30" s="49"/>
      <c r="H30" s="935"/>
      <c r="I30" s="935"/>
      <c r="J30" s="935"/>
      <c r="K30" s="935"/>
      <c r="L30" s="935"/>
      <c r="N30" s="34"/>
      <c r="O30" s="911" t="s">
        <v>72</v>
      </c>
      <c r="P30" s="912"/>
      <c r="Q30" s="912"/>
      <c r="R30" s="913"/>
      <c r="S30" s="16">
        <f>(S43*S42*F33*F22)*S17*1.17</f>
        <v>28.654025400000002</v>
      </c>
      <c r="T30" s="16">
        <f>(S30/S17)*U17</f>
        <v>0</v>
      </c>
      <c r="U30" s="16">
        <f>(S30/S17)*V17</f>
        <v>1.5350370750000002</v>
      </c>
      <c r="V30" s="16">
        <f>(S30/S17)*W17</f>
        <v>1.5350370750000002</v>
      </c>
      <c r="W30" s="900"/>
      <c r="X30" s="34"/>
      <c r="Y30" s="72"/>
    </row>
    <row r="31" spans="2:25">
      <c r="B31" s="50"/>
      <c r="C31" s="16"/>
      <c r="D31" s="908" t="s">
        <v>22</v>
      </c>
      <c r="E31" s="909"/>
      <c r="F31" s="20">
        <v>3</v>
      </c>
      <c r="G31" s="49"/>
      <c r="H31" s="43" t="str">
        <f>IF(F31=0,"",IF(F31&lt;2.5,"Esta casa não será aprovada pela caixa. Min 2,5",""))</f>
        <v/>
      </c>
      <c r="I31" s="43"/>
      <c r="J31" s="43"/>
      <c r="K31" s="43"/>
      <c r="L31" s="43"/>
      <c r="N31" s="34"/>
      <c r="O31" s="908" t="s">
        <v>70</v>
      </c>
      <c r="P31" s="929"/>
      <c r="Q31" s="929"/>
      <c r="R31" s="909"/>
      <c r="S31" s="16">
        <f>(F12*S46)*S17</f>
        <v>86.421999999999997</v>
      </c>
      <c r="T31" s="16">
        <f>(S31/S17)*U17</f>
        <v>0</v>
      </c>
      <c r="U31" s="16">
        <f>(S31/S17)*V17</f>
        <v>4.6297499999999996</v>
      </c>
      <c r="V31" s="16">
        <f>(S31/S17)*W17</f>
        <v>4.6297499999999996</v>
      </c>
      <c r="W31" s="900"/>
      <c r="X31" s="34"/>
    </row>
    <row r="32" spans="2:25">
      <c r="B32" s="50"/>
      <c r="C32" s="16"/>
      <c r="D32" s="908" t="s">
        <v>29</v>
      </c>
      <c r="E32" s="909"/>
      <c r="F32" s="20">
        <f>(F28+F30)*1.2</f>
        <v>272.39999999999998</v>
      </c>
      <c r="G32" s="49"/>
      <c r="H32" s="935"/>
      <c r="I32" s="935"/>
      <c r="J32" s="935"/>
      <c r="K32" s="935"/>
      <c r="L32" s="935"/>
      <c r="N32" s="34"/>
      <c r="O32" s="911" t="s">
        <v>71</v>
      </c>
      <c r="P32" s="912"/>
      <c r="Q32" s="912"/>
      <c r="R32" s="913"/>
      <c r="S32" s="16">
        <f>(F12*S46)*S19</f>
        <v>123.46000000000001</v>
      </c>
      <c r="T32" s="16">
        <f>(S32/S19)*U19</f>
        <v>0</v>
      </c>
      <c r="U32" s="16">
        <f>(S32/S19)*V19</f>
        <v>4.5268666666666668</v>
      </c>
      <c r="V32" s="58">
        <f>(S32/S19)*W19</f>
        <v>5.6585833333333335</v>
      </c>
      <c r="W32" s="900"/>
      <c r="X32" s="34"/>
    </row>
    <row r="33" spans="2:24">
      <c r="B33" s="50"/>
      <c r="C33" s="16"/>
      <c r="D33" s="908" t="s">
        <v>104</v>
      </c>
      <c r="E33" s="909"/>
      <c r="F33" s="20">
        <f>(F29+F31)*1.1</f>
        <v>6.8200000000000012</v>
      </c>
      <c r="G33" s="49"/>
      <c r="H33" s="935"/>
      <c r="I33" s="935"/>
      <c r="J33" s="935"/>
      <c r="K33" s="935"/>
      <c r="L33" s="935"/>
      <c r="N33" s="34"/>
      <c r="O33" s="914" t="s">
        <v>182</v>
      </c>
      <c r="P33" s="915"/>
      <c r="Q33" s="915"/>
      <c r="R33" s="916"/>
      <c r="S33" s="58">
        <f>(F35*F34*S46)*S17</f>
        <v>8.4000000000000021</v>
      </c>
      <c r="T33" s="58">
        <f>(S33/S17)*U17</f>
        <v>0</v>
      </c>
      <c r="U33" s="47">
        <f>(S33/S17)*V17</f>
        <v>0.45000000000000018</v>
      </c>
      <c r="V33" s="58">
        <f>(S33/S17)*W17</f>
        <v>0.45000000000000018</v>
      </c>
      <c r="W33" s="900"/>
      <c r="X33" s="31"/>
    </row>
    <row r="34" spans="2:24">
      <c r="B34" s="50"/>
      <c r="C34" s="16"/>
      <c r="D34" s="908" t="s">
        <v>23</v>
      </c>
      <c r="E34" s="909"/>
      <c r="F34" s="20">
        <v>2</v>
      </c>
      <c r="G34" s="49"/>
      <c r="H34" s="935" t="str">
        <f>IF(F34&lt;0.5,"Esta Calçada não será aprovada pela caixa. Min 0,5","")</f>
        <v/>
      </c>
      <c r="I34" s="935"/>
      <c r="J34" s="935"/>
      <c r="K34" s="935"/>
      <c r="L34" s="935"/>
      <c r="N34" s="34"/>
      <c r="O34" s="66"/>
      <c r="P34" s="53"/>
      <c r="Q34" s="53"/>
      <c r="R34" s="53"/>
      <c r="S34" s="53"/>
      <c r="T34" s="53"/>
      <c r="U34" s="53"/>
      <c r="V34" s="53"/>
      <c r="W34" s="900"/>
      <c r="X34" s="34"/>
    </row>
    <row r="35" spans="2:24">
      <c r="B35" s="54"/>
      <c r="C35" s="16"/>
      <c r="D35" s="41" t="s">
        <v>24</v>
      </c>
      <c r="E35" s="42"/>
      <c r="F35" s="20">
        <v>12</v>
      </c>
      <c r="G35" s="49"/>
      <c r="H35" s="1"/>
      <c r="I35" s="1"/>
      <c r="J35" s="1"/>
      <c r="K35" s="1"/>
      <c r="L35" s="1"/>
      <c r="N35" s="34"/>
      <c r="O35" s="907" t="s">
        <v>76</v>
      </c>
      <c r="P35" s="910"/>
      <c r="Q35" s="910"/>
      <c r="R35" s="905"/>
      <c r="S35" s="16">
        <f>S23+S24+S25+S27+S28+S29+S30+S31+S32+S33</f>
        <v>642.88987638076924</v>
      </c>
      <c r="T35" s="16">
        <f t="shared" ref="T35:V35" si="0">T23+T24+T25+T27+T28+T29+T30+T31+T32+T33</f>
        <v>27.913496703296701</v>
      </c>
      <c r="U35" s="16">
        <f t="shared" si="0"/>
        <v>18.396718835416667</v>
      </c>
      <c r="V35" s="16">
        <f t="shared" si="0"/>
        <v>19.528435502083333</v>
      </c>
      <c r="W35" s="899"/>
      <c r="X35" s="34"/>
    </row>
    <row r="36" spans="2:24">
      <c r="B36" s="54"/>
      <c r="C36" s="35"/>
      <c r="D36" s="901"/>
      <c r="E36" s="901"/>
      <c r="F36" s="35"/>
      <c r="G36" s="49"/>
      <c r="H36" s="1"/>
      <c r="I36" s="1"/>
      <c r="J36" s="1"/>
      <c r="K36" s="1"/>
      <c r="L36" s="1"/>
      <c r="N36" s="45"/>
      <c r="O36" s="28"/>
      <c r="P36" s="29"/>
      <c r="Q36" s="29"/>
      <c r="R36" s="29"/>
      <c r="S36" s="29"/>
      <c r="T36" s="29"/>
      <c r="U36" s="29"/>
      <c r="V36" s="29"/>
      <c r="W36" s="30"/>
      <c r="X36" s="45"/>
    </row>
    <row r="37" spans="2:24">
      <c r="B37" s="50"/>
      <c r="C37" s="15"/>
      <c r="D37" s="15" t="s">
        <v>25</v>
      </c>
      <c r="E37" s="13" t="s">
        <v>26</v>
      </c>
      <c r="F37" s="14"/>
      <c r="G37" s="50"/>
      <c r="H37" s="942" t="s">
        <v>1060</v>
      </c>
      <c r="I37" s="943"/>
      <c r="J37" s="943"/>
      <c r="K37" s="944"/>
      <c r="L37" s="19">
        <v>0.2</v>
      </c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</row>
    <row r="38" spans="2:24">
      <c r="B38" s="50"/>
      <c r="C38" s="926" t="s">
        <v>4</v>
      </c>
      <c r="D38" s="927"/>
      <c r="E38" s="927"/>
      <c r="F38" s="22" t="s">
        <v>3</v>
      </c>
      <c r="G38" s="49"/>
      <c r="H38" s="1"/>
      <c r="I38" s="1"/>
      <c r="J38" s="1"/>
      <c r="K38" s="1"/>
      <c r="L38" s="1"/>
    </row>
    <row r="39" spans="2:24">
      <c r="B39" s="50"/>
      <c r="C39" s="16"/>
      <c r="D39" s="908" t="s">
        <v>27</v>
      </c>
      <c r="E39" s="909"/>
      <c r="F39" s="20">
        <v>115</v>
      </c>
      <c r="G39" s="49"/>
      <c r="H39" s="935"/>
      <c r="I39" s="935"/>
      <c r="J39" s="935"/>
      <c r="K39" s="935"/>
      <c r="L39" s="935"/>
      <c r="N39" s="44"/>
      <c r="O39" s="28"/>
      <c r="P39" s="29"/>
      <c r="Q39" s="29"/>
      <c r="R39" s="29"/>
      <c r="S39" s="29"/>
      <c r="T39" s="29"/>
      <c r="U39" s="29"/>
      <c r="V39" s="29"/>
      <c r="W39" s="29"/>
      <c r="X39" s="30"/>
    </row>
    <row r="40" spans="2:24">
      <c r="B40" s="50"/>
      <c r="C40" s="16"/>
      <c r="D40" s="908" t="s">
        <v>28</v>
      </c>
      <c r="E40" s="909"/>
      <c r="F40" s="20">
        <v>16</v>
      </c>
      <c r="G40" s="49"/>
      <c r="H40" s="934" t="s">
        <v>105</v>
      </c>
      <c r="I40" s="934"/>
      <c r="J40" s="934"/>
      <c r="K40" s="934"/>
      <c r="L40" s="934"/>
      <c r="N40" s="34"/>
      <c r="O40" s="930" t="s">
        <v>77</v>
      </c>
      <c r="P40" s="931"/>
      <c r="Q40" s="931"/>
      <c r="R40" s="931"/>
      <c r="S40" s="932"/>
      <c r="T40" s="931"/>
      <c r="U40" s="931"/>
      <c r="V40" s="931"/>
      <c r="W40" s="933"/>
      <c r="X40" s="44"/>
    </row>
    <row r="41" spans="2:24">
      <c r="B41" s="54"/>
      <c r="C41" s="16"/>
      <c r="D41" s="908" t="s">
        <v>179</v>
      </c>
      <c r="E41" s="909"/>
      <c r="F41" s="62">
        <v>1.6</v>
      </c>
      <c r="G41" s="49"/>
      <c r="N41" s="34"/>
      <c r="O41" s="923" t="s">
        <v>106</v>
      </c>
      <c r="P41" s="924"/>
      <c r="Q41" s="924"/>
      <c r="R41" s="925"/>
      <c r="S41" s="20">
        <v>0.19</v>
      </c>
      <c r="T41" s="890"/>
      <c r="U41" s="890"/>
      <c r="V41" s="890"/>
      <c r="W41" s="891"/>
      <c r="X41" s="34"/>
    </row>
    <row r="42" spans="2:24">
      <c r="B42" s="54"/>
      <c r="C42" s="16"/>
      <c r="D42" s="908" t="s">
        <v>180</v>
      </c>
      <c r="E42" s="909"/>
      <c r="F42" s="87">
        <v>18.600000000000001</v>
      </c>
      <c r="G42" s="49"/>
      <c r="N42" s="34"/>
      <c r="O42" s="905" t="s">
        <v>107</v>
      </c>
      <c r="P42" s="906"/>
      <c r="Q42" s="906"/>
      <c r="R42" s="907"/>
      <c r="S42" s="20">
        <v>0.19</v>
      </c>
      <c r="T42" s="892"/>
      <c r="U42" s="892"/>
      <c r="V42" s="892"/>
      <c r="W42" s="893"/>
      <c r="X42" s="34"/>
    </row>
    <row r="43" spans="2:24">
      <c r="B43" s="52"/>
      <c r="C43" s="56"/>
      <c r="D43" s="889"/>
      <c r="E43" s="889"/>
      <c r="F43" s="56"/>
      <c r="G43" s="51"/>
      <c r="N43" s="34"/>
      <c r="O43" s="905" t="s">
        <v>108</v>
      </c>
      <c r="P43" s="906"/>
      <c r="Q43" s="906"/>
      <c r="R43" s="907"/>
      <c r="S43" s="20">
        <v>0.09</v>
      </c>
      <c r="T43" s="892"/>
      <c r="U43" s="892"/>
      <c r="V43" s="892"/>
      <c r="W43" s="893"/>
      <c r="X43" s="34"/>
    </row>
    <row r="44" spans="2:24">
      <c r="N44" s="34"/>
      <c r="O44" s="905" t="s">
        <v>78</v>
      </c>
      <c r="P44" s="906"/>
      <c r="Q44" s="906"/>
      <c r="R44" s="907"/>
      <c r="S44" s="20">
        <v>0.01</v>
      </c>
      <c r="T44" s="892"/>
      <c r="U44" s="892"/>
      <c r="V44" s="892"/>
      <c r="W44" s="893"/>
      <c r="X44" s="34"/>
    </row>
    <row r="45" spans="2:24">
      <c r="N45" s="59"/>
      <c r="O45" s="905" t="s">
        <v>79</v>
      </c>
      <c r="P45" s="906"/>
      <c r="Q45" s="906"/>
      <c r="R45" s="907"/>
      <c r="S45" s="61">
        <f>1/(0.19*(0.19+S44))</f>
        <v>26.315789473684205</v>
      </c>
      <c r="T45" s="892"/>
      <c r="U45" s="892"/>
      <c r="V45" s="892"/>
      <c r="W45" s="893"/>
      <c r="X45" s="34"/>
    </row>
    <row r="46" spans="2:24">
      <c r="N46" s="59"/>
      <c r="O46" s="905" t="s">
        <v>80</v>
      </c>
      <c r="P46" s="906"/>
      <c r="Q46" s="906"/>
      <c r="R46" s="907"/>
      <c r="S46" s="20">
        <v>0.05</v>
      </c>
      <c r="T46" s="892"/>
      <c r="U46" s="892"/>
      <c r="V46" s="892"/>
      <c r="W46" s="893"/>
      <c r="X46" s="34"/>
    </row>
    <row r="47" spans="2:24">
      <c r="N47" s="59"/>
      <c r="O47" s="905" t="s">
        <v>81</v>
      </c>
      <c r="P47" s="906"/>
      <c r="Q47" s="906"/>
      <c r="R47" s="907"/>
      <c r="S47" s="20">
        <v>1.4999999999999999E-2</v>
      </c>
      <c r="T47" s="892"/>
      <c r="U47" s="892"/>
      <c r="V47" s="892"/>
      <c r="W47" s="893"/>
      <c r="X47" s="34"/>
    </row>
    <row r="48" spans="2:24">
      <c r="N48" s="59"/>
      <c r="O48" s="905" t="s">
        <v>82</v>
      </c>
      <c r="P48" s="906"/>
      <c r="Q48" s="906"/>
      <c r="R48" s="907"/>
      <c r="S48" s="20">
        <v>0.95</v>
      </c>
      <c r="T48" s="892"/>
      <c r="U48" s="892"/>
      <c r="V48" s="892"/>
      <c r="W48" s="893"/>
      <c r="X48" s="34"/>
    </row>
    <row r="49" spans="14:24">
      <c r="N49" s="59"/>
      <c r="O49" s="905" t="s">
        <v>109</v>
      </c>
      <c r="P49" s="906"/>
      <c r="Q49" s="906"/>
      <c r="R49" s="907"/>
      <c r="S49" s="20">
        <v>1.1000000000000001</v>
      </c>
      <c r="T49" s="892"/>
      <c r="U49" s="892"/>
      <c r="V49" s="892"/>
      <c r="W49" s="893"/>
      <c r="X49" s="34"/>
    </row>
    <row r="50" spans="14:24">
      <c r="N50" s="59"/>
      <c r="O50" s="907"/>
      <c r="P50" s="910"/>
      <c r="Q50" s="910"/>
      <c r="R50" s="910"/>
      <c r="S50" s="20"/>
      <c r="T50" s="892"/>
      <c r="U50" s="892"/>
      <c r="V50" s="892"/>
      <c r="W50" s="893"/>
      <c r="X50" s="34"/>
    </row>
    <row r="51" spans="14:24">
      <c r="N51" s="59"/>
      <c r="O51" s="905" t="s">
        <v>103</v>
      </c>
      <c r="P51" s="906"/>
      <c r="Q51" s="906"/>
      <c r="R51" s="907"/>
      <c r="S51" s="62">
        <v>310</v>
      </c>
      <c r="T51" s="892"/>
      <c r="U51" s="892"/>
      <c r="V51" s="892"/>
      <c r="W51" s="893"/>
      <c r="X51" s="34"/>
    </row>
    <row r="52" spans="14:24">
      <c r="N52" s="59"/>
      <c r="O52" s="907"/>
      <c r="P52" s="910"/>
      <c r="Q52" s="910"/>
      <c r="R52" s="910"/>
      <c r="S52" s="20"/>
      <c r="T52" s="892"/>
      <c r="U52" s="892"/>
      <c r="V52" s="892"/>
      <c r="W52" s="893"/>
      <c r="X52" s="34"/>
    </row>
    <row r="53" spans="14:24">
      <c r="N53" s="59"/>
      <c r="O53" s="905" t="s">
        <v>110</v>
      </c>
      <c r="P53" s="906"/>
      <c r="Q53" s="906"/>
      <c r="R53" s="907"/>
      <c r="S53" s="21">
        <v>13</v>
      </c>
      <c r="T53" s="892"/>
      <c r="U53" s="892"/>
      <c r="V53" s="892"/>
      <c r="W53" s="893"/>
      <c r="X53" s="34"/>
    </row>
    <row r="54" spans="14:24">
      <c r="N54" s="59"/>
      <c r="O54" s="905" t="s">
        <v>111</v>
      </c>
      <c r="P54" s="906"/>
      <c r="Q54" s="906"/>
      <c r="R54" s="907"/>
      <c r="S54" s="21">
        <v>5</v>
      </c>
      <c r="T54" s="892"/>
      <c r="U54" s="892"/>
      <c r="V54" s="892"/>
      <c r="W54" s="893"/>
      <c r="X54" s="34"/>
    </row>
    <row r="55" spans="14:24">
      <c r="N55" s="59"/>
      <c r="O55" s="905" t="s">
        <v>83</v>
      </c>
      <c r="P55" s="906"/>
      <c r="Q55" s="906"/>
      <c r="R55" s="907"/>
      <c r="S55" s="20">
        <v>7</v>
      </c>
      <c r="T55" s="892"/>
      <c r="U55" s="892"/>
      <c r="V55" s="892"/>
      <c r="W55" s="893"/>
      <c r="X55" s="34"/>
    </row>
    <row r="56" spans="14:24">
      <c r="N56" s="59"/>
      <c r="O56" s="905" t="s">
        <v>112</v>
      </c>
      <c r="P56" s="906"/>
      <c r="Q56" s="906"/>
      <c r="R56" s="907"/>
      <c r="S56" s="20">
        <v>2</v>
      </c>
      <c r="T56" s="892"/>
      <c r="U56" s="892"/>
      <c r="V56" s="892"/>
      <c r="W56" s="893"/>
      <c r="X56" s="34"/>
    </row>
    <row r="57" spans="14:24">
      <c r="N57" s="59"/>
      <c r="O57" s="907"/>
      <c r="P57" s="910"/>
      <c r="Q57" s="910"/>
      <c r="R57" s="910"/>
      <c r="S57" s="20"/>
      <c r="T57" s="892"/>
      <c r="U57" s="892"/>
      <c r="V57" s="892"/>
      <c r="W57" s="893"/>
      <c r="X57" s="34"/>
    </row>
    <row r="58" spans="14:24">
      <c r="N58" s="59"/>
      <c r="O58" s="905" t="s">
        <v>84</v>
      </c>
      <c r="P58" s="906"/>
      <c r="Q58" s="906"/>
      <c r="R58" s="907"/>
      <c r="S58" s="63">
        <v>38</v>
      </c>
      <c r="T58" s="892"/>
      <c r="U58" s="892"/>
      <c r="V58" s="892"/>
      <c r="W58" s="893"/>
      <c r="X58" s="34"/>
    </row>
    <row r="59" spans="14:24">
      <c r="N59" s="59"/>
      <c r="O59" s="905" t="s">
        <v>85</v>
      </c>
      <c r="P59" s="906"/>
      <c r="Q59" s="906"/>
      <c r="R59" s="907"/>
      <c r="S59" s="20">
        <v>1.1200000000000001</v>
      </c>
      <c r="T59" s="892"/>
      <c r="U59" s="892"/>
      <c r="V59" s="892"/>
      <c r="W59" s="893"/>
      <c r="X59" s="34"/>
    </row>
    <row r="60" spans="14:24">
      <c r="N60" s="59"/>
      <c r="O60" s="907"/>
      <c r="P60" s="910"/>
      <c r="Q60" s="910"/>
      <c r="R60" s="910"/>
      <c r="S60" s="20"/>
      <c r="T60" s="892"/>
      <c r="U60" s="892"/>
      <c r="V60" s="892"/>
      <c r="W60" s="893"/>
      <c r="X60" s="34"/>
    </row>
    <row r="61" spans="14:24">
      <c r="N61" s="59"/>
      <c r="O61" s="905" t="s">
        <v>86</v>
      </c>
      <c r="P61" s="906"/>
      <c r="Q61" s="906"/>
      <c r="R61" s="907"/>
      <c r="S61" s="20">
        <v>6</v>
      </c>
      <c r="T61" s="892"/>
      <c r="U61" s="892"/>
      <c r="V61" s="892"/>
      <c r="W61" s="893"/>
      <c r="X61" s="34"/>
    </row>
    <row r="62" spans="14:24">
      <c r="N62" s="59"/>
      <c r="O62" s="905" t="s">
        <v>87</v>
      </c>
      <c r="P62" s="906"/>
      <c r="Q62" s="906"/>
      <c r="R62" s="907"/>
      <c r="S62" s="20">
        <v>5.5</v>
      </c>
      <c r="T62" s="892"/>
      <c r="U62" s="892"/>
      <c r="V62" s="892"/>
      <c r="W62" s="893"/>
      <c r="X62" s="34"/>
    </row>
    <row r="63" spans="14:24">
      <c r="N63" s="59"/>
      <c r="O63" s="907"/>
      <c r="P63" s="910"/>
      <c r="Q63" s="910"/>
      <c r="R63" s="910"/>
      <c r="S63" s="20"/>
      <c r="T63" s="892"/>
      <c r="U63" s="892"/>
      <c r="V63" s="892"/>
      <c r="W63" s="893"/>
      <c r="X63" s="34"/>
    </row>
    <row r="64" spans="14:24">
      <c r="N64" s="59"/>
      <c r="O64" s="905" t="s">
        <v>113</v>
      </c>
      <c r="P64" s="906"/>
      <c r="Q64" s="906"/>
      <c r="R64" s="907"/>
      <c r="S64" s="20">
        <v>3</v>
      </c>
      <c r="T64" s="892"/>
      <c r="U64" s="892"/>
      <c r="V64" s="892"/>
      <c r="W64" s="893"/>
      <c r="X64" s="34"/>
    </row>
    <row r="65" spans="14:24">
      <c r="N65" s="59"/>
      <c r="O65" s="905" t="s">
        <v>88</v>
      </c>
      <c r="P65" s="906"/>
      <c r="Q65" s="906"/>
      <c r="R65" s="907"/>
      <c r="S65" s="20">
        <v>4</v>
      </c>
      <c r="T65" s="892"/>
      <c r="U65" s="892"/>
      <c r="V65" s="892"/>
      <c r="W65" s="893"/>
      <c r="X65" s="34"/>
    </row>
    <row r="66" spans="14:24">
      <c r="N66" s="59"/>
      <c r="O66" s="905" t="s">
        <v>114</v>
      </c>
      <c r="P66" s="906"/>
      <c r="Q66" s="906"/>
      <c r="R66" s="907"/>
      <c r="S66" s="20">
        <v>15</v>
      </c>
      <c r="T66" s="892"/>
      <c r="U66" s="892"/>
      <c r="V66" s="892"/>
      <c r="W66" s="893"/>
      <c r="X66" s="34"/>
    </row>
    <row r="67" spans="14:24">
      <c r="N67" s="59"/>
      <c r="O67" s="905" t="s">
        <v>115</v>
      </c>
      <c r="P67" s="906"/>
      <c r="Q67" s="906"/>
      <c r="R67" s="907"/>
      <c r="S67" s="20">
        <v>35</v>
      </c>
      <c r="T67" s="892"/>
      <c r="U67" s="892"/>
      <c r="V67" s="892"/>
      <c r="W67" s="893"/>
      <c r="X67" s="34"/>
    </row>
    <row r="68" spans="14:24">
      <c r="N68" s="59"/>
      <c r="O68" s="905" t="s">
        <v>89</v>
      </c>
      <c r="P68" s="906"/>
      <c r="Q68" s="906"/>
      <c r="R68" s="907"/>
      <c r="S68" s="20">
        <v>2</v>
      </c>
      <c r="T68" s="892"/>
      <c r="U68" s="892"/>
      <c r="V68" s="892"/>
      <c r="W68" s="893"/>
      <c r="X68" s="34"/>
    </row>
    <row r="69" spans="14:24">
      <c r="N69" s="59"/>
      <c r="O69" s="905" t="s">
        <v>90</v>
      </c>
      <c r="P69" s="906"/>
      <c r="Q69" s="906"/>
      <c r="R69" s="907"/>
      <c r="S69" s="20">
        <v>1.1000000000000001</v>
      </c>
      <c r="T69" s="892"/>
      <c r="U69" s="892"/>
      <c r="V69" s="892"/>
      <c r="W69" s="893"/>
      <c r="X69" s="34"/>
    </row>
    <row r="70" spans="14:24">
      <c r="N70" s="59"/>
      <c r="O70" s="905" t="s">
        <v>91</v>
      </c>
      <c r="P70" s="906"/>
      <c r="Q70" s="906"/>
      <c r="R70" s="907"/>
      <c r="S70" s="64">
        <v>0.1</v>
      </c>
      <c r="T70" s="892"/>
      <c r="U70" s="892"/>
      <c r="V70" s="892"/>
      <c r="W70" s="893"/>
      <c r="X70" s="34"/>
    </row>
    <row r="71" spans="14:24">
      <c r="N71" s="59"/>
      <c r="O71" s="905" t="s">
        <v>92</v>
      </c>
      <c r="P71" s="906"/>
      <c r="Q71" s="906"/>
      <c r="R71" s="907"/>
      <c r="S71" s="64">
        <v>0.1</v>
      </c>
      <c r="T71" s="892"/>
      <c r="U71" s="892"/>
      <c r="V71" s="892"/>
      <c r="W71" s="893"/>
      <c r="X71" s="34"/>
    </row>
    <row r="72" spans="14:24">
      <c r="N72" s="59"/>
      <c r="O72" s="905" t="s">
        <v>93</v>
      </c>
      <c r="P72" s="906"/>
      <c r="Q72" s="906"/>
      <c r="R72" s="907"/>
      <c r="S72" s="20">
        <v>1.1000000000000001</v>
      </c>
      <c r="T72" s="892"/>
      <c r="U72" s="892"/>
      <c r="V72" s="892"/>
      <c r="W72" s="893"/>
      <c r="X72" s="34"/>
    </row>
    <row r="73" spans="14:24">
      <c r="N73" s="59"/>
      <c r="O73" s="905" t="s">
        <v>94</v>
      </c>
      <c r="P73" s="906"/>
      <c r="Q73" s="906"/>
      <c r="R73" s="907"/>
      <c r="S73" s="20">
        <v>2.5</v>
      </c>
      <c r="T73" s="892"/>
      <c r="U73" s="892"/>
      <c r="V73" s="892"/>
      <c r="W73" s="893"/>
      <c r="X73" s="34"/>
    </row>
    <row r="74" spans="14:24">
      <c r="N74" s="59"/>
      <c r="O74" s="905" t="s">
        <v>95</v>
      </c>
      <c r="P74" s="906"/>
      <c r="Q74" s="906"/>
      <c r="R74" s="907"/>
      <c r="S74" s="20">
        <v>170</v>
      </c>
      <c r="T74" s="892"/>
      <c r="U74" s="892"/>
      <c r="V74" s="892"/>
      <c r="W74" s="893"/>
      <c r="X74" s="34"/>
    </row>
    <row r="75" spans="14:24">
      <c r="N75" s="59"/>
      <c r="O75" s="905" t="s">
        <v>96</v>
      </c>
      <c r="P75" s="906"/>
      <c r="Q75" s="906"/>
      <c r="R75" s="907"/>
      <c r="S75" s="20">
        <v>12</v>
      </c>
      <c r="T75" s="892"/>
      <c r="U75" s="892"/>
      <c r="V75" s="892"/>
      <c r="W75" s="893"/>
      <c r="X75" s="34"/>
    </row>
    <row r="76" spans="14:24">
      <c r="N76" s="59"/>
      <c r="O76" s="905" t="s">
        <v>97</v>
      </c>
      <c r="P76" s="906"/>
      <c r="Q76" s="906"/>
      <c r="R76" s="907"/>
      <c r="S76" s="65">
        <v>12</v>
      </c>
      <c r="T76" s="892"/>
      <c r="U76" s="892"/>
      <c r="V76" s="892"/>
      <c r="W76" s="893"/>
      <c r="X76" s="34"/>
    </row>
    <row r="77" spans="14:24">
      <c r="N77" s="59"/>
      <c r="O77" s="920" t="s">
        <v>116</v>
      </c>
      <c r="P77" s="921"/>
      <c r="Q77" s="921"/>
      <c r="R77" s="922"/>
      <c r="S77" s="65">
        <v>56</v>
      </c>
      <c r="T77" s="892"/>
      <c r="U77" s="892"/>
      <c r="V77" s="892"/>
      <c r="W77" s="893"/>
      <c r="X77" s="34"/>
    </row>
    <row r="78" spans="14:24">
      <c r="N78" s="59"/>
      <c r="O78" s="902" t="s">
        <v>98</v>
      </c>
      <c r="P78" s="903"/>
      <c r="Q78" s="903"/>
      <c r="R78" s="904"/>
      <c r="S78" s="20">
        <v>1.3</v>
      </c>
      <c r="T78" s="892"/>
      <c r="U78" s="892"/>
      <c r="V78" s="892"/>
      <c r="W78" s="893"/>
      <c r="X78" s="34"/>
    </row>
    <row r="79" spans="14:24">
      <c r="N79" s="59"/>
      <c r="O79" s="905" t="s">
        <v>99</v>
      </c>
      <c r="P79" s="906"/>
      <c r="Q79" s="906"/>
      <c r="R79" s="907"/>
      <c r="S79" s="20">
        <v>2</v>
      </c>
      <c r="T79" s="892"/>
      <c r="U79" s="892"/>
      <c r="V79" s="892"/>
      <c r="W79" s="893"/>
      <c r="X79" s="34"/>
    </row>
    <row r="80" spans="14:24">
      <c r="N80" s="59"/>
      <c r="O80" s="905" t="s">
        <v>100</v>
      </c>
      <c r="P80" s="906"/>
      <c r="Q80" s="906"/>
      <c r="R80" s="907"/>
      <c r="S80" s="20">
        <v>3</v>
      </c>
      <c r="T80" s="892"/>
      <c r="U80" s="892"/>
      <c r="V80" s="892"/>
      <c r="W80" s="893"/>
      <c r="X80" s="34"/>
    </row>
    <row r="81" spans="14:24">
      <c r="N81" s="59"/>
      <c r="O81" s="905" t="s">
        <v>101</v>
      </c>
      <c r="P81" s="906"/>
      <c r="Q81" s="906"/>
      <c r="R81" s="907"/>
      <c r="S81" s="20">
        <v>70.5</v>
      </c>
      <c r="T81" s="892"/>
      <c r="U81" s="892"/>
      <c r="V81" s="892"/>
      <c r="W81" s="893"/>
      <c r="X81" s="34"/>
    </row>
    <row r="82" spans="14:24">
      <c r="N82" s="59"/>
      <c r="O82" s="917" t="s">
        <v>102</v>
      </c>
      <c r="P82" s="918"/>
      <c r="Q82" s="918"/>
      <c r="R82" s="919"/>
      <c r="S82" s="20">
        <v>6</v>
      </c>
      <c r="T82" s="894"/>
      <c r="U82" s="894"/>
      <c r="V82" s="894"/>
      <c r="W82" s="895"/>
      <c r="X82" s="34"/>
    </row>
    <row r="83" spans="14:24">
      <c r="N83" s="60"/>
      <c r="O83" s="28"/>
      <c r="P83" s="29"/>
      <c r="Q83" s="29"/>
      <c r="R83" s="29"/>
      <c r="S83" s="39"/>
      <c r="T83" s="29"/>
      <c r="U83" s="29"/>
      <c r="V83" s="29"/>
      <c r="W83" s="30"/>
      <c r="X83" s="45"/>
    </row>
    <row r="84" spans="14:24">
      <c r="X84" s="24"/>
    </row>
  </sheetData>
  <mergeCells count="122">
    <mergeCell ref="D10:E10"/>
    <mergeCell ref="C11:E11"/>
    <mergeCell ref="D33:E33"/>
    <mergeCell ref="D34:E34"/>
    <mergeCell ref="D31:E31"/>
    <mergeCell ref="D23:E23"/>
    <mergeCell ref="D24:E24"/>
    <mergeCell ref="D25:E25"/>
    <mergeCell ref="D26:E26"/>
    <mergeCell ref="D27:E27"/>
    <mergeCell ref="D15:E15"/>
    <mergeCell ref="D16:E16"/>
    <mergeCell ref="D17:E17"/>
    <mergeCell ref="D18:E18"/>
    <mergeCell ref="C21:E21"/>
    <mergeCell ref="D22:E22"/>
    <mergeCell ref="C4:F6"/>
    <mergeCell ref="C7:F7"/>
    <mergeCell ref="C8:F8"/>
    <mergeCell ref="D41:E41"/>
    <mergeCell ref="O17:R17"/>
    <mergeCell ref="O18:R18"/>
    <mergeCell ref="O19:R19"/>
    <mergeCell ref="O7:W7"/>
    <mergeCell ref="H27:L27"/>
    <mergeCell ref="H28:L28"/>
    <mergeCell ref="H29:L29"/>
    <mergeCell ref="H30:L30"/>
    <mergeCell ref="H32:L32"/>
    <mergeCell ref="H33:L33"/>
    <mergeCell ref="H34:L34"/>
    <mergeCell ref="H39:L39"/>
    <mergeCell ref="H40:L40"/>
    <mergeCell ref="H18:L18"/>
    <mergeCell ref="H22:L22"/>
    <mergeCell ref="H23:L23"/>
    <mergeCell ref="H24:L24"/>
    <mergeCell ref="H25:L25"/>
    <mergeCell ref="H26:L26"/>
    <mergeCell ref="H37:K37"/>
    <mergeCell ref="H13:L13"/>
    <mergeCell ref="H14:L14"/>
    <mergeCell ref="H15:L15"/>
    <mergeCell ref="C38:E38"/>
    <mergeCell ref="D40:E40"/>
    <mergeCell ref="D39:E39"/>
    <mergeCell ref="H12:L12"/>
    <mergeCell ref="O9:Q9"/>
    <mergeCell ref="O10:Q10"/>
    <mergeCell ref="O12:Q12"/>
    <mergeCell ref="O13:Q13"/>
    <mergeCell ref="O14:Q14"/>
    <mergeCell ref="O23:R23"/>
    <mergeCell ref="O24:R24"/>
    <mergeCell ref="O25:R25"/>
    <mergeCell ref="O22:R22"/>
    <mergeCell ref="O35:R35"/>
    <mergeCell ref="O16:R16"/>
    <mergeCell ref="D28:E28"/>
    <mergeCell ref="D29:E29"/>
    <mergeCell ref="D30:E30"/>
    <mergeCell ref="D32:E32"/>
    <mergeCell ref="H16:L16"/>
    <mergeCell ref="H17:L17"/>
    <mergeCell ref="O41:R41"/>
    <mergeCell ref="O42:R42"/>
    <mergeCell ref="O43:R43"/>
    <mergeCell ref="O26:R26"/>
    <mergeCell ref="O27:R27"/>
    <mergeCell ref="O28:R28"/>
    <mergeCell ref="O29:R29"/>
    <mergeCell ref="O30:R30"/>
    <mergeCell ref="O31:R31"/>
    <mergeCell ref="O40:W40"/>
    <mergeCell ref="O82:R82"/>
    <mergeCell ref="T41:W82"/>
    <mergeCell ref="O50:R50"/>
    <mergeCell ref="O52:R52"/>
    <mergeCell ref="O57:R57"/>
    <mergeCell ref="O72:R72"/>
    <mergeCell ref="O73:R73"/>
    <mergeCell ref="O74:R74"/>
    <mergeCell ref="O75:R75"/>
    <mergeCell ref="O76:R76"/>
    <mergeCell ref="O77:R77"/>
    <mergeCell ref="O66:R66"/>
    <mergeCell ref="O67:R67"/>
    <mergeCell ref="O68:R68"/>
    <mergeCell ref="O69:R69"/>
    <mergeCell ref="O70:R70"/>
    <mergeCell ref="O71:R71"/>
    <mergeCell ref="O58:R58"/>
    <mergeCell ref="O59:R59"/>
    <mergeCell ref="O61:R61"/>
    <mergeCell ref="O62:R62"/>
    <mergeCell ref="O64:R64"/>
    <mergeCell ref="O65:R65"/>
    <mergeCell ref="O60:R60"/>
    <mergeCell ref="D43:E43"/>
    <mergeCell ref="S8:W15"/>
    <mergeCell ref="O20:R21"/>
    <mergeCell ref="W20:W35"/>
    <mergeCell ref="D36:E36"/>
    <mergeCell ref="O78:R78"/>
    <mergeCell ref="O79:R79"/>
    <mergeCell ref="O80:R80"/>
    <mergeCell ref="O81:R81"/>
    <mergeCell ref="D42:E42"/>
    <mergeCell ref="O63:R63"/>
    <mergeCell ref="O49:R49"/>
    <mergeCell ref="O51:R51"/>
    <mergeCell ref="O53:R53"/>
    <mergeCell ref="O54:R54"/>
    <mergeCell ref="O55:R55"/>
    <mergeCell ref="O56:R56"/>
    <mergeCell ref="O44:R44"/>
    <mergeCell ref="O45:R45"/>
    <mergeCell ref="O46:R46"/>
    <mergeCell ref="O47:R47"/>
    <mergeCell ref="O48:R48"/>
    <mergeCell ref="O32:R32"/>
    <mergeCell ref="O33:R3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B1:AU428"/>
  <sheetViews>
    <sheetView zoomScaleNormal="100" workbookViewId="0">
      <pane ySplit="5" topLeftCell="A6" activePane="bottomLeft" state="frozenSplit"/>
      <selection pane="bottomLeft" activeCell="F97" sqref="F97"/>
    </sheetView>
  </sheetViews>
  <sheetFormatPr defaultRowHeight="15"/>
  <cols>
    <col min="1" max="1" width="3.140625" customWidth="1"/>
    <col min="2" max="2" width="2" style="69" customWidth="1"/>
    <col min="3" max="3" width="31.5703125" style="70" customWidth="1"/>
    <col min="4" max="4" width="55.7109375" style="70" customWidth="1"/>
    <col min="5" max="5" width="9.42578125" style="70" customWidth="1"/>
    <col min="6" max="6" width="11.42578125" style="40" customWidth="1"/>
    <col min="7" max="8" width="15.28515625" style="70" customWidth="1"/>
    <col min="9" max="9" width="11.7109375" style="74" customWidth="1"/>
    <col min="10" max="10" width="13.7109375" style="70" customWidth="1"/>
    <col min="11" max="11" width="11.85546875" style="70" customWidth="1"/>
    <col min="12" max="12" width="12.7109375" style="74" customWidth="1"/>
    <col min="13" max="13" width="16" style="70" customWidth="1"/>
    <col min="14" max="14" width="14.85546875" style="70" customWidth="1"/>
    <col min="17" max="17" width="14.28515625" style="74" customWidth="1"/>
    <col min="18" max="18" width="2.7109375" style="69" customWidth="1"/>
  </cols>
  <sheetData>
    <row r="1" spans="2:47" ht="15.75" thickBot="1">
      <c r="B1" s="23"/>
      <c r="C1" s="40"/>
      <c r="D1" s="40"/>
      <c r="E1" s="40"/>
      <c r="G1" s="40"/>
      <c r="H1" s="40"/>
      <c r="I1" s="40"/>
      <c r="J1" s="40"/>
      <c r="K1" s="40"/>
      <c r="L1" s="40"/>
      <c r="M1" s="40"/>
      <c r="N1" s="40"/>
      <c r="Q1" s="40"/>
      <c r="R1" s="23"/>
    </row>
    <row r="2" spans="2:47">
      <c r="B2" s="247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9"/>
      <c r="R2" s="250"/>
    </row>
    <row r="3" spans="2:47" s="23" customFormat="1" ht="15.75" thickBot="1">
      <c r="B3" s="248"/>
      <c r="C3" s="994" t="s">
        <v>213</v>
      </c>
      <c r="D3" s="995"/>
      <c r="E3" s="995"/>
      <c r="F3" s="995"/>
      <c r="G3" s="995"/>
      <c r="H3" s="995"/>
      <c r="I3" s="995"/>
      <c r="J3" s="995"/>
      <c r="K3" s="995"/>
      <c r="L3" s="995"/>
      <c r="M3" s="995"/>
      <c r="N3" s="995"/>
      <c r="O3" s="995"/>
      <c r="P3" s="995"/>
      <c r="Q3" s="996"/>
      <c r="R3" s="251"/>
    </row>
    <row r="4" spans="2:47" s="23" customFormat="1">
      <c r="B4" s="248"/>
      <c r="C4" s="20"/>
      <c r="D4" s="20"/>
      <c r="E4" s="92"/>
      <c r="F4" s="997" t="s">
        <v>120</v>
      </c>
      <c r="G4" s="998"/>
      <c r="H4" s="999"/>
      <c r="I4" s="1000" t="s">
        <v>259</v>
      </c>
      <c r="J4" s="1001"/>
      <c r="K4" s="1002"/>
      <c r="L4" s="1003" t="s">
        <v>124</v>
      </c>
      <c r="M4" s="1004"/>
      <c r="N4" s="1004"/>
      <c r="O4" s="967"/>
      <c r="P4" s="968"/>
      <c r="Q4" s="969"/>
      <c r="R4" s="251"/>
    </row>
    <row r="5" spans="2:47" s="23" customFormat="1" ht="15.75" thickBot="1">
      <c r="B5" s="248"/>
      <c r="C5" s="164" t="s">
        <v>117</v>
      </c>
      <c r="D5" s="164" t="s">
        <v>118</v>
      </c>
      <c r="E5" s="165" t="s">
        <v>119</v>
      </c>
      <c r="F5" s="166" t="s">
        <v>121</v>
      </c>
      <c r="G5" s="167" t="s">
        <v>122</v>
      </c>
      <c r="H5" s="168" t="s">
        <v>123</v>
      </c>
      <c r="I5" s="169" t="s">
        <v>121</v>
      </c>
      <c r="J5" s="170" t="s">
        <v>122</v>
      </c>
      <c r="K5" s="171" t="s">
        <v>123</v>
      </c>
      <c r="L5" s="112" t="s">
        <v>129</v>
      </c>
      <c r="M5" s="172" t="s">
        <v>126</v>
      </c>
      <c r="N5" s="173" t="s">
        <v>125</v>
      </c>
      <c r="O5" s="982" t="s">
        <v>127</v>
      </c>
      <c r="P5" s="983"/>
      <c r="Q5" s="984"/>
      <c r="R5" s="251"/>
      <c r="S5" s="80" t="s">
        <v>130</v>
      </c>
    </row>
    <row r="6" spans="2:47">
      <c r="B6" s="248"/>
      <c r="C6" s="115" t="s">
        <v>131</v>
      </c>
      <c r="D6" s="116" t="s">
        <v>132</v>
      </c>
      <c r="E6" s="117" t="s">
        <v>136</v>
      </c>
      <c r="F6" s="158">
        <f>DADOS!T35</f>
        <v>27.913496703296701</v>
      </c>
      <c r="G6" s="159">
        <v>160</v>
      </c>
      <c r="H6" s="160">
        <f>F6*G6</f>
        <v>4466.1594725274717</v>
      </c>
      <c r="I6" s="161"/>
      <c r="J6" s="162"/>
      <c r="K6" s="163">
        <f t="shared" ref="K6:K19" si="0">I6*J6</f>
        <v>0</v>
      </c>
      <c r="L6" s="124"/>
      <c r="M6" s="125" t="str">
        <f>IF(L6="S",H6-K6,"")</f>
        <v/>
      </c>
      <c r="N6" s="126" t="str">
        <f>IF(L6="S",IF(M6&gt;0,"Poupou",IF(M6=0,"Planejado","Estourou")),"")</f>
        <v/>
      </c>
      <c r="O6" s="985"/>
      <c r="P6" s="986"/>
      <c r="Q6" s="987"/>
      <c r="R6" s="251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</row>
    <row r="7" spans="2:47">
      <c r="B7" s="248"/>
      <c r="C7" s="75" t="s">
        <v>131</v>
      </c>
      <c r="D7" s="76" t="s">
        <v>133</v>
      </c>
      <c r="E7" s="93" t="s">
        <v>136</v>
      </c>
      <c r="F7" s="84">
        <f>DADOS!U35</f>
        <v>18.396718835416667</v>
      </c>
      <c r="G7" s="85">
        <v>170</v>
      </c>
      <c r="H7" s="94">
        <f t="shared" ref="H7:H19" si="1">F7*G7</f>
        <v>3127.4422020208335</v>
      </c>
      <c r="I7" s="77"/>
      <c r="J7" s="78"/>
      <c r="K7" s="99">
        <f t="shared" si="0"/>
        <v>0</v>
      </c>
      <c r="L7" s="86"/>
      <c r="M7" s="79" t="str">
        <f t="shared" ref="M7:M31" si="2">IF(L7="S",H7-K7,"")</f>
        <v/>
      </c>
      <c r="N7" s="102" t="str">
        <f t="shared" ref="N7:N31" si="3">IF(L7="S",IF(M7&gt;0,"Poupou",IF(M7=0,"Planejado","Estourou")),"")</f>
        <v/>
      </c>
      <c r="O7" s="988"/>
      <c r="P7" s="989"/>
      <c r="Q7" s="990"/>
      <c r="R7" s="251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</row>
    <row r="8" spans="2:47">
      <c r="B8" s="248"/>
      <c r="C8" s="75" t="s">
        <v>131</v>
      </c>
      <c r="D8" s="76" t="s">
        <v>134</v>
      </c>
      <c r="E8" s="93" t="s">
        <v>136</v>
      </c>
      <c r="F8" s="84">
        <f>DADOS!V35</f>
        <v>19.528435502083333</v>
      </c>
      <c r="G8" s="85">
        <v>164</v>
      </c>
      <c r="H8" s="94">
        <f t="shared" si="1"/>
        <v>3202.6634223416668</v>
      </c>
      <c r="I8" s="77"/>
      <c r="J8" s="78"/>
      <c r="K8" s="99">
        <f t="shared" si="0"/>
        <v>0</v>
      </c>
      <c r="L8" s="86"/>
      <c r="M8" s="79" t="str">
        <f t="shared" si="2"/>
        <v/>
      </c>
      <c r="N8" s="102" t="str">
        <f t="shared" si="3"/>
        <v/>
      </c>
      <c r="O8" s="988"/>
      <c r="P8" s="989"/>
      <c r="Q8" s="990"/>
      <c r="R8" s="251"/>
      <c r="S8" s="80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</row>
    <row r="9" spans="2:47">
      <c r="B9" s="248"/>
      <c r="C9" s="75" t="s">
        <v>131</v>
      </c>
      <c r="D9" s="76" t="s">
        <v>135</v>
      </c>
      <c r="E9" s="93" t="s">
        <v>137</v>
      </c>
      <c r="F9" s="84">
        <f>DADOS!S27+DADOS!S28+DADOS!S29</f>
        <v>135.42788175000001</v>
      </c>
      <c r="G9" s="85">
        <v>60</v>
      </c>
      <c r="H9" s="94">
        <f>F9*G9</f>
        <v>8125.6729050000004</v>
      </c>
      <c r="I9" s="77"/>
      <c r="J9" s="78"/>
      <c r="K9" s="99">
        <f t="shared" si="0"/>
        <v>0</v>
      </c>
      <c r="L9" s="86"/>
      <c r="M9" s="79" t="str">
        <f>IF(L9="S",H9-K9,"")</f>
        <v/>
      </c>
      <c r="N9" s="102" t="str">
        <f t="shared" si="3"/>
        <v/>
      </c>
      <c r="O9" s="988"/>
      <c r="P9" s="989"/>
      <c r="Q9" s="990"/>
      <c r="R9" s="251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</row>
    <row r="10" spans="2:47">
      <c r="B10" s="248"/>
      <c r="C10" s="75" t="s">
        <v>131</v>
      </c>
      <c r="D10" s="76" t="s">
        <v>147</v>
      </c>
      <c r="E10" s="93" t="s">
        <v>153</v>
      </c>
      <c r="F10" s="84">
        <f>DADOS!F12*DADOS!S70</f>
        <v>24.692</v>
      </c>
      <c r="G10" s="85">
        <v>18</v>
      </c>
      <c r="H10" s="94">
        <f t="shared" si="1"/>
        <v>444.45600000000002</v>
      </c>
      <c r="I10" s="77"/>
      <c r="J10" s="78"/>
      <c r="K10" s="99">
        <f t="shared" si="0"/>
        <v>0</v>
      </c>
      <c r="L10" s="86"/>
      <c r="M10" s="79" t="str">
        <f t="shared" si="2"/>
        <v/>
      </c>
      <c r="N10" s="102" t="str">
        <f t="shared" si="3"/>
        <v/>
      </c>
      <c r="O10" s="988"/>
      <c r="P10" s="989"/>
      <c r="Q10" s="990"/>
      <c r="R10" s="251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</row>
    <row r="11" spans="2:47">
      <c r="B11" s="248"/>
      <c r="C11" s="75" t="s">
        <v>131</v>
      </c>
      <c r="D11" s="76" t="s">
        <v>141</v>
      </c>
      <c r="E11" s="93" t="s">
        <v>142</v>
      </c>
      <c r="F11" s="84">
        <f>DADOS!F12*DADOS!S71*0.25</f>
        <v>6.173</v>
      </c>
      <c r="G11" s="85">
        <v>18</v>
      </c>
      <c r="H11" s="94">
        <f>F11*G11</f>
        <v>111.114</v>
      </c>
      <c r="I11" s="77"/>
      <c r="J11" s="78"/>
      <c r="K11" s="99">
        <f t="shared" si="0"/>
        <v>0</v>
      </c>
      <c r="L11" s="86"/>
      <c r="M11" s="79" t="str">
        <f t="shared" si="2"/>
        <v/>
      </c>
      <c r="N11" s="102" t="str">
        <f t="shared" si="3"/>
        <v/>
      </c>
      <c r="O11" s="988"/>
      <c r="P11" s="989"/>
      <c r="Q11" s="990"/>
      <c r="R11" s="251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</row>
    <row r="12" spans="2:47">
      <c r="B12" s="248"/>
      <c r="C12" s="75" t="s">
        <v>131</v>
      </c>
      <c r="D12" s="76" t="s">
        <v>139</v>
      </c>
      <c r="E12" s="93" t="s">
        <v>140</v>
      </c>
      <c r="F12" s="84">
        <f>DADOS!F32*IF(DADOS!F32&lt;85,DADOS!S79,DADOS!S79*2)</f>
        <v>1089.5999999999999</v>
      </c>
      <c r="G12" s="85">
        <v>30</v>
      </c>
      <c r="H12" s="94">
        <f t="shared" si="1"/>
        <v>32687.999999999996</v>
      </c>
      <c r="I12" s="77"/>
      <c r="J12" s="78"/>
      <c r="K12" s="99">
        <f t="shared" si="0"/>
        <v>0</v>
      </c>
      <c r="L12" s="86"/>
      <c r="M12" s="79" t="str">
        <f t="shared" si="2"/>
        <v/>
      </c>
      <c r="N12" s="102" t="str">
        <f t="shared" si="3"/>
        <v/>
      </c>
      <c r="O12" s="988"/>
      <c r="P12" s="989"/>
      <c r="Q12" s="990"/>
      <c r="R12" s="251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</row>
    <row r="13" spans="2:47">
      <c r="B13" s="248"/>
      <c r="C13" s="75" t="s">
        <v>131</v>
      </c>
      <c r="D13" s="76" t="s">
        <v>138</v>
      </c>
      <c r="E13" s="93" t="s">
        <v>140</v>
      </c>
      <c r="F13" s="84">
        <f>DADOS!F12*IF(DADOS!F12&lt;85,DADOS!S78,DADOS!S78*1.6)</f>
        <v>513.59360000000004</v>
      </c>
      <c r="G13" s="85">
        <v>26</v>
      </c>
      <c r="H13" s="94">
        <f>F13*G13</f>
        <v>13353.4336</v>
      </c>
      <c r="I13" s="77"/>
      <c r="J13" s="78"/>
      <c r="K13" s="99">
        <f t="shared" si="0"/>
        <v>0</v>
      </c>
      <c r="L13" s="86"/>
      <c r="M13" s="79" t="str">
        <f t="shared" si="2"/>
        <v/>
      </c>
      <c r="N13" s="102" t="str">
        <f t="shared" si="3"/>
        <v/>
      </c>
      <c r="O13" s="988"/>
      <c r="P13" s="989"/>
      <c r="Q13" s="990"/>
      <c r="R13" s="251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</row>
    <row r="14" spans="2:47">
      <c r="B14" s="248"/>
      <c r="C14" s="75" t="s">
        <v>131</v>
      </c>
      <c r="D14" s="76" t="s">
        <v>143</v>
      </c>
      <c r="E14" s="93" t="s">
        <v>148</v>
      </c>
      <c r="F14" s="84">
        <f>(DADOS!F22*((DADOS!F33+DADOS!F25)/5.5))+((DADOS!F32/5.5)*2)*1.15</f>
        <v>163.11272727272726</v>
      </c>
      <c r="G14" s="85">
        <v>180</v>
      </c>
      <c r="H14" s="94">
        <f t="shared" si="1"/>
        <v>29360.290909090905</v>
      </c>
      <c r="I14" s="77"/>
      <c r="J14" s="78"/>
      <c r="K14" s="99">
        <f t="shared" si="0"/>
        <v>0</v>
      </c>
      <c r="L14" s="86"/>
      <c r="M14" s="79" t="str">
        <f t="shared" si="2"/>
        <v/>
      </c>
      <c r="N14" s="102" t="str">
        <f t="shared" si="3"/>
        <v/>
      </c>
      <c r="O14" s="988"/>
      <c r="P14" s="989"/>
      <c r="Q14" s="990"/>
      <c r="R14" s="251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</row>
    <row r="15" spans="2:47">
      <c r="B15" s="248"/>
      <c r="C15" s="75" t="s">
        <v>131</v>
      </c>
      <c r="D15" s="76" t="s">
        <v>144</v>
      </c>
      <c r="E15" s="93" t="s">
        <v>150</v>
      </c>
      <c r="F15" s="84">
        <f>DADOS!F23</f>
        <v>29</v>
      </c>
      <c r="G15" s="85">
        <v>160</v>
      </c>
      <c r="H15" s="94">
        <f t="shared" si="1"/>
        <v>4640</v>
      </c>
      <c r="I15" s="77"/>
      <c r="J15" s="78"/>
      <c r="K15" s="99">
        <f t="shared" si="0"/>
        <v>0</v>
      </c>
      <c r="L15" s="86"/>
      <c r="M15" s="79" t="str">
        <f t="shared" si="2"/>
        <v/>
      </c>
      <c r="N15" s="102" t="str">
        <f t="shared" si="3"/>
        <v/>
      </c>
      <c r="O15" s="988"/>
      <c r="P15" s="989"/>
      <c r="Q15" s="990"/>
      <c r="R15" s="251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</row>
    <row r="16" spans="2:47">
      <c r="B16" s="248"/>
      <c r="C16" s="75" t="s">
        <v>131</v>
      </c>
      <c r="D16" s="76" t="s">
        <v>145</v>
      </c>
      <c r="E16" s="93" t="s">
        <v>149</v>
      </c>
      <c r="F16" s="84">
        <f>DADOS!F12/DADOS!S77</f>
        <v>4.4092857142857138</v>
      </c>
      <c r="G16" s="85">
        <v>30</v>
      </c>
      <c r="H16" s="94">
        <f t="shared" si="1"/>
        <v>132.27857142857141</v>
      </c>
      <c r="I16" s="77"/>
      <c r="J16" s="78"/>
      <c r="K16" s="99">
        <f t="shared" si="0"/>
        <v>0</v>
      </c>
      <c r="L16" s="86"/>
      <c r="M16" s="79" t="str">
        <f t="shared" si="2"/>
        <v/>
      </c>
      <c r="N16" s="102" t="str">
        <f t="shared" si="3"/>
        <v/>
      </c>
      <c r="O16" s="988"/>
      <c r="P16" s="989"/>
      <c r="Q16" s="990"/>
      <c r="R16" s="251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</row>
    <row r="17" spans="2:47">
      <c r="B17" s="248"/>
      <c r="C17" s="75" t="s">
        <v>131</v>
      </c>
      <c r="D17" s="76" t="s">
        <v>146</v>
      </c>
      <c r="E17" s="93" t="s">
        <v>150</v>
      </c>
      <c r="F17" s="84">
        <f>IF(DADOS!F12&lt;=80,1,IF(AND(DADOS!F12&gt;80,DADOS!F12&lt;=150),2,IF(AND(DADOS!F12&gt;150,DADOS!F12&lt;=220),3,4)))</f>
        <v>4</v>
      </c>
      <c r="G17" s="85">
        <v>98</v>
      </c>
      <c r="H17" s="94">
        <f t="shared" si="1"/>
        <v>392</v>
      </c>
      <c r="I17" s="77"/>
      <c r="J17" s="78"/>
      <c r="K17" s="99">
        <f t="shared" si="0"/>
        <v>0</v>
      </c>
      <c r="L17" s="86"/>
      <c r="M17" s="79" t="str">
        <f t="shared" si="2"/>
        <v/>
      </c>
      <c r="N17" s="102" t="str">
        <f t="shared" si="3"/>
        <v/>
      </c>
      <c r="O17" s="988"/>
      <c r="P17" s="989"/>
      <c r="Q17" s="990"/>
      <c r="R17" s="251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</row>
    <row r="18" spans="2:47">
      <c r="B18" s="248"/>
      <c r="C18" s="75" t="s">
        <v>131</v>
      </c>
      <c r="D18" s="76"/>
      <c r="E18" s="93"/>
      <c r="F18" s="84"/>
      <c r="G18" s="85"/>
      <c r="H18" s="94">
        <f t="shared" si="1"/>
        <v>0</v>
      </c>
      <c r="I18" s="77"/>
      <c r="J18" s="78"/>
      <c r="K18" s="99">
        <f t="shared" si="0"/>
        <v>0</v>
      </c>
      <c r="L18" s="86"/>
      <c r="M18" s="79" t="str">
        <f t="shared" si="2"/>
        <v/>
      </c>
      <c r="N18" s="179" t="str">
        <f t="shared" si="3"/>
        <v/>
      </c>
      <c r="O18" s="90"/>
      <c r="P18" s="90"/>
      <c r="Q18" s="91"/>
      <c r="R18" s="251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</row>
    <row r="19" spans="2:47" ht="15.75" thickBot="1">
      <c r="B19" s="248"/>
      <c r="C19" s="103" t="s">
        <v>131</v>
      </c>
      <c r="D19" s="104"/>
      <c r="E19" s="105"/>
      <c r="F19" s="106"/>
      <c r="G19" s="107"/>
      <c r="H19" s="108">
        <f t="shared" si="1"/>
        <v>0</v>
      </c>
      <c r="I19" s="109"/>
      <c r="J19" s="110"/>
      <c r="K19" s="111">
        <f t="shared" si="0"/>
        <v>0</v>
      </c>
      <c r="L19" s="112"/>
      <c r="M19" s="178" t="str">
        <f t="shared" si="2"/>
        <v/>
      </c>
      <c r="N19" s="180" t="str">
        <f t="shared" si="3"/>
        <v/>
      </c>
      <c r="O19" s="1005"/>
      <c r="P19" s="1006"/>
      <c r="Q19" s="1007"/>
      <c r="R19" s="251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</row>
    <row r="20" spans="2:47" ht="15.75" thickBot="1">
      <c r="B20" s="220"/>
      <c r="C20" s="127" t="s">
        <v>128</v>
      </c>
      <c r="D20" s="128"/>
      <c r="E20" s="129"/>
      <c r="F20" s="130"/>
      <c r="G20" s="131"/>
      <c r="H20" s="132">
        <f>SUM(H6:H19)</f>
        <v>100043.51108240944</v>
      </c>
      <c r="I20" s="133"/>
      <c r="J20" s="131"/>
      <c r="K20" s="132">
        <f>SUM(K6:K19)</f>
        <v>0</v>
      </c>
      <c r="L20" s="134"/>
      <c r="M20" s="131">
        <f>SUM(M6:M19)</f>
        <v>0</v>
      </c>
      <c r="N20" s="135" t="str">
        <f>IF(M20&gt;0,"Poupou",IF(M20=0,"Planejado","Estourou"))</f>
        <v>Planejado</v>
      </c>
      <c r="O20" s="949"/>
      <c r="P20" s="950"/>
      <c r="Q20" s="951"/>
      <c r="R20" s="251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</row>
    <row r="21" spans="2:47">
      <c r="B21" s="220"/>
      <c r="C21" s="115" t="s">
        <v>61</v>
      </c>
      <c r="D21" s="116" t="s">
        <v>135</v>
      </c>
      <c r="E21" s="117" t="s">
        <v>137</v>
      </c>
      <c r="F21" s="118">
        <f>DADOS!S30+DADOS!S25</f>
        <v>167.53402539999999</v>
      </c>
      <c r="G21" s="119">
        <v>60</v>
      </c>
      <c r="H21" s="120">
        <f>G21*F21</f>
        <v>10052.041524</v>
      </c>
      <c r="I21" s="121"/>
      <c r="J21" s="122"/>
      <c r="K21" s="123">
        <f t="shared" ref="K21:K31" si="4">I21*J21</f>
        <v>0</v>
      </c>
      <c r="L21" s="124"/>
      <c r="M21" s="125" t="str">
        <f t="shared" si="2"/>
        <v/>
      </c>
      <c r="N21" s="126" t="str">
        <f t="shared" si="3"/>
        <v/>
      </c>
      <c r="O21" s="979"/>
      <c r="P21" s="980"/>
      <c r="Q21" s="981"/>
      <c r="R21" s="251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</row>
    <row r="22" spans="2:47">
      <c r="B22" s="220"/>
      <c r="C22" s="75" t="s">
        <v>61</v>
      </c>
      <c r="D22" s="76" t="s">
        <v>154</v>
      </c>
      <c r="E22" s="93" t="s">
        <v>160</v>
      </c>
      <c r="F22" s="95">
        <f>DADOS!R10</f>
        <v>17359.999999999996</v>
      </c>
      <c r="G22" s="83">
        <v>0.6</v>
      </c>
      <c r="H22" s="98">
        <f t="shared" ref="H22:H31" si="5">F22*G22</f>
        <v>10415.999999999998</v>
      </c>
      <c r="I22" s="96"/>
      <c r="J22" s="82"/>
      <c r="K22" s="101">
        <f t="shared" si="4"/>
        <v>0</v>
      </c>
      <c r="L22" s="86"/>
      <c r="M22" s="79" t="str">
        <f t="shared" si="2"/>
        <v/>
      </c>
      <c r="N22" s="102" t="str">
        <f>IF(L22="S",IF(M22&gt;0,"Poupou",IF(M22=0,"Planejado","Estourou")),"")</f>
        <v/>
      </c>
      <c r="O22" s="973"/>
      <c r="P22" s="974"/>
      <c r="Q22" s="975"/>
      <c r="R22" s="251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</row>
    <row r="23" spans="2:47">
      <c r="B23" s="220"/>
      <c r="C23" s="75" t="s">
        <v>61</v>
      </c>
      <c r="D23" s="76" t="s">
        <v>163</v>
      </c>
      <c r="E23" s="93" t="s">
        <v>160</v>
      </c>
      <c r="F23" s="95"/>
      <c r="G23" s="83">
        <v>6</v>
      </c>
      <c r="H23" s="98">
        <f t="shared" si="5"/>
        <v>0</v>
      </c>
      <c r="I23" s="96"/>
      <c r="J23" s="82"/>
      <c r="K23" s="101">
        <f t="shared" si="4"/>
        <v>0</v>
      </c>
      <c r="L23" s="86"/>
      <c r="M23" s="79" t="str">
        <f t="shared" si="2"/>
        <v/>
      </c>
      <c r="N23" s="102" t="str">
        <f t="shared" si="3"/>
        <v/>
      </c>
      <c r="O23" s="973"/>
      <c r="P23" s="974"/>
      <c r="Q23" s="975"/>
      <c r="R23" s="251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</row>
    <row r="24" spans="2:47">
      <c r="B24" s="220"/>
      <c r="C24" s="75" t="s">
        <v>61</v>
      </c>
      <c r="D24" s="76" t="s">
        <v>157</v>
      </c>
      <c r="E24" s="93" t="s">
        <v>152</v>
      </c>
      <c r="F24" s="95">
        <v>9</v>
      </c>
      <c r="G24" s="83">
        <v>330</v>
      </c>
      <c r="H24" s="98">
        <f t="shared" si="5"/>
        <v>2970</v>
      </c>
      <c r="I24" s="96"/>
      <c r="J24" s="82"/>
      <c r="K24" s="101">
        <f t="shared" si="4"/>
        <v>0</v>
      </c>
      <c r="L24" s="86"/>
      <c r="M24" s="79" t="str">
        <f t="shared" si="2"/>
        <v/>
      </c>
      <c r="N24" s="102" t="str">
        <f t="shared" si="3"/>
        <v/>
      </c>
      <c r="O24" s="955"/>
      <c r="P24" s="956"/>
      <c r="Q24" s="957"/>
      <c r="R24" s="251"/>
    </row>
    <row r="25" spans="2:47">
      <c r="B25" s="220"/>
      <c r="C25" s="75" t="s">
        <v>61</v>
      </c>
      <c r="D25" s="76" t="s">
        <v>155</v>
      </c>
      <c r="E25" s="93" t="s">
        <v>152</v>
      </c>
      <c r="F25" s="95">
        <v>5</v>
      </c>
      <c r="G25" s="83">
        <v>130</v>
      </c>
      <c r="H25" s="98">
        <f t="shared" si="5"/>
        <v>650</v>
      </c>
      <c r="I25" s="96"/>
      <c r="J25" s="82"/>
      <c r="K25" s="101">
        <f t="shared" si="4"/>
        <v>0</v>
      </c>
      <c r="L25" s="86"/>
      <c r="M25" s="79" t="str">
        <f t="shared" si="2"/>
        <v/>
      </c>
      <c r="N25" s="102" t="str">
        <f t="shared" si="3"/>
        <v/>
      </c>
      <c r="O25" s="991"/>
      <c r="P25" s="992"/>
      <c r="Q25" s="993"/>
      <c r="R25" s="251"/>
    </row>
    <row r="26" spans="2:47">
      <c r="B26" s="220"/>
      <c r="C26" s="75" t="s">
        <v>61</v>
      </c>
      <c r="D26" s="76" t="s">
        <v>159</v>
      </c>
      <c r="E26" s="93" t="s">
        <v>152</v>
      </c>
      <c r="F26" s="95">
        <f>(DADOS!F13+DADOS!F14+DADOS!F15+DADOS!F16+DADOS!F17+DADOS!F18)/1.2</f>
        <v>11.666666666666668</v>
      </c>
      <c r="G26" s="83">
        <v>40</v>
      </c>
      <c r="H26" s="98">
        <f t="shared" si="5"/>
        <v>466.66666666666674</v>
      </c>
      <c r="I26" s="96"/>
      <c r="J26" s="82"/>
      <c r="K26" s="101">
        <f t="shared" si="4"/>
        <v>0</v>
      </c>
      <c r="L26" s="86"/>
      <c r="M26" s="79" t="str">
        <f t="shared" si="2"/>
        <v/>
      </c>
      <c r="N26" s="102" t="str">
        <f t="shared" si="3"/>
        <v/>
      </c>
      <c r="O26" s="991"/>
      <c r="P26" s="992"/>
      <c r="Q26" s="993"/>
      <c r="R26" s="251"/>
    </row>
    <row r="27" spans="2:47">
      <c r="B27" s="220"/>
      <c r="C27" s="75" t="s">
        <v>61</v>
      </c>
      <c r="D27" s="76" t="s">
        <v>158</v>
      </c>
      <c r="E27" s="93" t="s">
        <v>161</v>
      </c>
      <c r="F27" s="95">
        <f>F17</f>
        <v>4</v>
      </c>
      <c r="G27" s="83">
        <v>54</v>
      </c>
      <c r="H27" s="98">
        <f t="shared" si="5"/>
        <v>216</v>
      </c>
      <c r="I27" s="96"/>
      <c r="J27" s="82"/>
      <c r="K27" s="101">
        <f t="shared" si="4"/>
        <v>0</v>
      </c>
      <c r="L27" s="86"/>
      <c r="M27" s="79" t="str">
        <f t="shared" si="2"/>
        <v/>
      </c>
      <c r="N27" s="102" t="str">
        <f t="shared" si="3"/>
        <v/>
      </c>
      <c r="O27" s="991"/>
      <c r="P27" s="992"/>
      <c r="Q27" s="993"/>
      <c r="R27" s="251"/>
    </row>
    <row r="28" spans="2:47">
      <c r="B28" s="220"/>
      <c r="C28" s="75" t="s">
        <v>61</v>
      </c>
      <c r="D28" s="76" t="s">
        <v>156</v>
      </c>
      <c r="E28" s="93" t="s">
        <v>152</v>
      </c>
      <c r="F28" s="95">
        <v>1</v>
      </c>
      <c r="G28" s="83">
        <v>102</v>
      </c>
      <c r="H28" s="98">
        <f t="shared" si="5"/>
        <v>102</v>
      </c>
      <c r="I28" s="96"/>
      <c r="J28" s="82"/>
      <c r="K28" s="101">
        <f t="shared" si="4"/>
        <v>0</v>
      </c>
      <c r="L28" s="86"/>
      <c r="M28" s="79" t="str">
        <f t="shared" si="2"/>
        <v/>
      </c>
      <c r="N28" s="102" t="str">
        <f t="shared" si="3"/>
        <v/>
      </c>
      <c r="O28" s="955"/>
      <c r="P28" s="956"/>
      <c r="Q28" s="957"/>
      <c r="R28" s="251"/>
    </row>
    <row r="29" spans="2:47">
      <c r="B29" s="220"/>
      <c r="C29" s="75" t="s">
        <v>61</v>
      </c>
      <c r="D29" s="76" t="s">
        <v>162</v>
      </c>
      <c r="E29" s="93" t="s">
        <v>152</v>
      </c>
      <c r="F29" s="847">
        <v>1</v>
      </c>
      <c r="G29" s="83">
        <v>35</v>
      </c>
      <c r="H29" s="98">
        <f>F29*G29</f>
        <v>35</v>
      </c>
      <c r="I29" s="96"/>
      <c r="J29" s="82"/>
      <c r="K29" s="101">
        <f t="shared" si="4"/>
        <v>0</v>
      </c>
      <c r="L29" s="86"/>
      <c r="M29" s="79" t="str">
        <f t="shared" si="2"/>
        <v/>
      </c>
      <c r="N29" s="102" t="str">
        <f t="shared" si="3"/>
        <v/>
      </c>
      <c r="O29" s="955"/>
      <c r="P29" s="956"/>
      <c r="Q29" s="957"/>
      <c r="R29" s="251"/>
    </row>
    <row r="30" spans="2:47">
      <c r="B30" s="220"/>
      <c r="C30" s="75" t="s">
        <v>61</v>
      </c>
      <c r="D30" s="76"/>
      <c r="E30" s="93"/>
      <c r="F30" s="95"/>
      <c r="G30" s="83"/>
      <c r="H30" s="98">
        <f t="shared" si="5"/>
        <v>0</v>
      </c>
      <c r="I30" s="96"/>
      <c r="J30" s="82"/>
      <c r="K30" s="101">
        <f t="shared" si="4"/>
        <v>0</v>
      </c>
      <c r="L30" s="86"/>
      <c r="M30" s="79" t="str">
        <f t="shared" si="2"/>
        <v/>
      </c>
      <c r="N30" s="102" t="str">
        <f t="shared" si="3"/>
        <v/>
      </c>
      <c r="O30" s="973"/>
      <c r="P30" s="974"/>
      <c r="Q30" s="975"/>
      <c r="R30" s="251"/>
    </row>
    <row r="31" spans="2:47" ht="15.75" thickBot="1">
      <c r="B31" s="220"/>
      <c r="C31" s="103" t="s">
        <v>61</v>
      </c>
      <c r="D31" s="104"/>
      <c r="E31" s="105"/>
      <c r="F31" s="136"/>
      <c r="G31" s="137"/>
      <c r="H31" s="138">
        <f t="shared" si="5"/>
        <v>0</v>
      </c>
      <c r="I31" s="139"/>
      <c r="J31" s="140"/>
      <c r="K31" s="141">
        <f t="shared" si="4"/>
        <v>0</v>
      </c>
      <c r="L31" s="112"/>
      <c r="M31" s="113" t="str">
        <f t="shared" si="2"/>
        <v/>
      </c>
      <c r="N31" s="114" t="str">
        <f t="shared" si="3"/>
        <v/>
      </c>
      <c r="O31" s="976"/>
      <c r="P31" s="977"/>
      <c r="Q31" s="978"/>
      <c r="R31" s="251"/>
    </row>
    <row r="32" spans="2:47" ht="15.75" thickBot="1">
      <c r="B32" s="220"/>
      <c r="C32" s="127" t="s">
        <v>128</v>
      </c>
      <c r="D32" s="128"/>
      <c r="E32" s="129"/>
      <c r="F32" s="130"/>
      <c r="G32" s="131"/>
      <c r="H32" s="132">
        <f>SUM(H21:H31)</f>
        <v>24907.708190666668</v>
      </c>
      <c r="I32" s="133"/>
      <c r="J32" s="131"/>
      <c r="K32" s="132">
        <f>SUM(K21:K31)</f>
        <v>0</v>
      </c>
      <c r="L32" s="133"/>
      <c r="M32" s="131">
        <f>SUM(M21:M31)</f>
        <v>0</v>
      </c>
      <c r="N32" s="135" t="str">
        <f>IF(M32&gt;0,"Poupou",IF(M32=0,"Planejado","Estourou"))</f>
        <v>Planejado</v>
      </c>
      <c r="O32" s="949"/>
      <c r="P32" s="950"/>
      <c r="Q32" s="951"/>
      <c r="R32" s="251"/>
    </row>
    <row r="33" spans="2:18">
      <c r="B33" s="220"/>
      <c r="C33" s="115" t="s">
        <v>164</v>
      </c>
      <c r="D33" s="116" t="s">
        <v>135</v>
      </c>
      <c r="E33" s="117" t="s">
        <v>151</v>
      </c>
      <c r="F33" s="118">
        <f>DADOS!S32</f>
        <v>123.46000000000001</v>
      </c>
      <c r="G33" s="119">
        <v>60</v>
      </c>
      <c r="H33" s="120">
        <f>G33*F33</f>
        <v>7407.6</v>
      </c>
      <c r="I33" s="121"/>
      <c r="J33" s="122"/>
      <c r="K33" s="123">
        <f>I33*J33</f>
        <v>0</v>
      </c>
      <c r="L33" s="124"/>
      <c r="M33" s="125" t="str">
        <f t="shared" ref="M33:M39" si="6">IF(L33="S",H33-K33,"")</f>
        <v/>
      </c>
      <c r="N33" s="126" t="str">
        <f t="shared" ref="N33:N39" si="7">IF(L33="S",IF(M33&gt;0,"Poupou",IF(M33=0,"Planejado","Estourou")),"")</f>
        <v/>
      </c>
      <c r="O33" s="979"/>
      <c r="P33" s="980"/>
      <c r="Q33" s="981"/>
      <c r="R33" s="251"/>
    </row>
    <row r="34" spans="2:18">
      <c r="B34" s="220"/>
      <c r="C34" s="75" t="s">
        <v>164</v>
      </c>
      <c r="D34" s="76" t="s">
        <v>165</v>
      </c>
      <c r="E34" s="93" t="s">
        <v>152</v>
      </c>
      <c r="F34" s="95">
        <f>DADOS!F22*IF(DADOS!F12&lt;85,DADOS!S80,DADOS!S80*1.6)</f>
        <v>144.00000000000003</v>
      </c>
      <c r="G34" s="83">
        <v>9</v>
      </c>
      <c r="H34" s="98">
        <f t="shared" ref="H34:H39" si="8">G34*F34</f>
        <v>1296.0000000000002</v>
      </c>
      <c r="I34" s="96"/>
      <c r="J34" s="82"/>
      <c r="K34" s="101">
        <f t="shared" ref="K34:K39" si="9">I34*J34</f>
        <v>0</v>
      </c>
      <c r="L34" s="86"/>
      <c r="M34" s="79" t="str">
        <f t="shared" si="6"/>
        <v/>
      </c>
      <c r="N34" s="102" t="str">
        <f t="shared" si="7"/>
        <v/>
      </c>
      <c r="O34" s="973"/>
      <c r="P34" s="974"/>
      <c r="Q34" s="975"/>
      <c r="R34" s="251"/>
    </row>
    <row r="35" spans="2:18">
      <c r="B35" s="220"/>
      <c r="C35" s="75" t="s">
        <v>164</v>
      </c>
      <c r="D35" s="76" t="s">
        <v>166</v>
      </c>
      <c r="E35" s="93" t="s">
        <v>167</v>
      </c>
      <c r="F35" s="95">
        <f>DADOS!F12</f>
        <v>246.92</v>
      </c>
      <c r="G35" s="83">
        <v>48</v>
      </c>
      <c r="H35" s="98">
        <f t="shared" si="8"/>
        <v>11852.16</v>
      </c>
      <c r="I35" s="96"/>
      <c r="J35" s="82"/>
      <c r="K35" s="101">
        <f t="shared" si="9"/>
        <v>0</v>
      </c>
      <c r="L35" s="86"/>
      <c r="M35" s="79" t="str">
        <f t="shared" si="6"/>
        <v/>
      </c>
      <c r="N35" s="102" t="str">
        <f t="shared" si="7"/>
        <v/>
      </c>
      <c r="O35" s="973"/>
      <c r="P35" s="974"/>
      <c r="Q35" s="975"/>
      <c r="R35" s="251"/>
    </row>
    <row r="36" spans="2:18">
      <c r="B36" s="220"/>
      <c r="C36" s="75" t="s">
        <v>164</v>
      </c>
      <c r="D36" s="76" t="s">
        <v>169</v>
      </c>
      <c r="E36" s="93" t="s">
        <v>152</v>
      </c>
      <c r="F36" s="95">
        <f>DADOS!F12/DADOS!S62</f>
        <v>44.894545454545451</v>
      </c>
      <c r="G36" s="83">
        <v>60</v>
      </c>
      <c r="H36" s="98">
        <f t="shared" si="8"/>
        <v>2693.6727272727271</v>
      </c>
      <c r="I36" s="96"/>
      <c r="J36" s="82"/>
      <c r="K36" s="101">
        <f t="shared" si="9"/>
        <v>0</v>
      </c>
      <c r="L36" s="86"/>
      <c r="M36" s="79" t="str">
        <f t="shared" si="6"/>
        <v/>
      </c>
      <c r="N36" s="102" t="str">
        <f t="shared" si="7"/>
        <v/>
      </c>
      <c r="O36" s="973"/>
      <c r="P36" s="974"/>
      <c r="Q36" s="975"/>
      <c r="R36" s="251"/>
    </row>
    <row r="37" spans="2:18">
      <c r="B37" s="220"/>
      <c r="C37" s="75" t="s">
        <v>164</v>
      </c>
      <c r="D37" s="76" t="s">
        <v>168</v>
      </c>
      <c r="E37" s="93" t="s">
        <v>170</v>
      </c>
      <c r="F37" s="95">
        <f>4*DADOS!F22</f>
        <v>120</v>
      </c>
      <c r="G37" s="83">
        <v>50</v>
      </c>
      <c r="H37" s="98">
        <f t="shared" si="8"/>
        <v>6000</v>
      </c>
      <c r="I37" s="96"/>
      <c r="J37" s="82"/>
      <c r="K37" s="101">
        <f t="shared" si="9"/>
        <v>0</v>
      </c>
      <c r="L37" s="86"/>
      <c r="M37" s="79" t="str">
        <f t="shared" si="6"/>
        <v/>
      </c>
      <c r="N37" s="102" t="str">
        <f t="shared" si="7"/>
        <v/>
      </c>
      <c r="O37" s="973"/>
      <c r="P37" s="974"/>
      <c r="Q37" s="975"/>
      <c r="R37" s="251"/>
    </row>
    <row r="38" spans="2:18">
      <c r="B38" s="220"/>
      <c r="C38" s="75" t="s">
        <v>164</v>
      </c>
      <c r="D38" s="76"/>
      <c r="E38" s="93"/>
      <c r="F38" s="95"/>
      <c r="G38" s="83"/>
      <c r="H38" s="98">
        <f t="shared" si="8"/>
        <v>0</v>
      </c>
      <c r="I38" s="96"/>
      <c r="J38" s="82"/>
      <c r="K38" s="101">
        <f t="shared" si="9"/>
        <v>0</v>
      </c>
      <c r="L38" s="86"/>
      <c r="M38" s="79" t="str">
        <f t="shared" si="6"/>
        <v/>
      </c>
      <c r="N38" s="102" t="str">
        <f t="shared" si="7"/>
        <v/>
      </c>
      <c r="O38" s="973"/>
      <c r="P38" s="974"/>
      <c r="Q38" s="975"/>
      <c r="R38" s="251"/>
    </row>
    <row r="39" spans="2:18" ht="15.75" thickBot="1">
      <c r="B39" s="220"/>
      <c r="C39" s="103" t="s">
        <v>164</v>
      </c>
      <c r="D39" s="104"/>
      <c r="E39" s="105"/>
      <c r="F39" s="136"/>
      <c r="G39" s="137"/>
      <c r="H39" s="138">
        <f t="shared" si="8"/>
        <v>0</v>
      </c>
      <c r="I39" s="139"/>
      <c r="J39" s="140"/>
      <c r="K39" s="141">
        <f t="shared" si="9"/>
        <v>0</v>
      </c>
      <c r="L39" s="112"/>
      <c r="M39" s="113" t="str">
        <f t="shared" si="6"/>
        <v/>
      </c>
      <c r="N39" s="114" t="str">
        <f t="shared" si="7"/>
        <v/>
      </c>
      <c r="O39" s="976"/>
      <c r="P39" s="977"/>
      <c r="Q39" s="978"/>
      <c r="R39" s="251"/>
    </row>
    <row r="40" spans="2:18" ht="15.75" thickBot="1">
      <c r="B40" s="220"/>
      <c r="C40" s="127" t="s">
        <v>128</v>
      </c>
      <c r="D40" s="128"/>
      <c r="E40" s="129"/>
      <c r="F40" s="130"/>
      <c r="G40" s="131"/>
      <c r="H40" s="132">
        <f>SUM(H33:H39)</f>
        <v>29249.432727272728</v>
      </c>
      <c r="I40" s="133"/>
      <c r="J40" s="131"/>
      <c r="K40" s="132">
        <f>SUM(K33:K39)</f>
        <v>0</v>
      </c>
      <c r="L40" s="133"/>
      <c r="M40" s="131">
        <f>SUM(M33:M39)</f>
        <v>0</v>
      </c>
      <c r="N40" s="135" t="str">
        <f>IF(M40&gt;0,"Poupou",IF(M40=0,"Planejado","Estourou"))</f>
        <v>Planejado</v>
      </c>
      <c r="O40" s="949"/>
      <c r="P40" s="950"/>
      <c r="Q40" s="951"/>
      <c r="R40" s="251"/>
    </row>
    <row r="41" spans="2:18">
      <c r="B41" s="220"/>
      <c r="C41" s="115" t="s">
        <v>171</v>
      </c>
      <c r="D41" s="116" t="s">
        <v>135</v>
      </c>
      <c r="E41" s="117" t="s">
        <v>151</v>
      </c>
      <c r="F41" s="118">
        <f>DADOS!S24</f>
        <v>14.815199999999999</v>
      </c>
      <c r="G41" s="119">
        <v>60</v>
      </c>
      <c r="H41" s="120">
        <f>G41*F41</f>
        <v>888.91199999999992</v>
      </c>
      <c r="I41" s="121"/>
      <c r="J41" s="122"/>
      <c r="K41" s="123">
        <f>I41*J41</f>
        <v>0</v>
      </c>
      <c r="L41" s="124"/>
      <c r="M41" s="125" t="str">
        <f t="shared" ref="M41:M105" si="10">IF(L41="S",H41-K41,"")</f>
        <v/>
      </c>
      <c r="N41" s="126" t="str">
        <f t="shared" ref="N41:N105" si="11">IF(L41="S",IF(M41&gt;0,"Poupou",IF(M41=0,"Planejado","Estourou")),"")</f>
        <v/>
      </c>
      <c r="O41" s="979"/>
      <c r="P41" s="980"/>
      <c r="Q41" s="981"/>
      <c r="R41" s="251"/>
    </row>
    <row r="42" spans="2:18" ht="15.75" thickBot="1">
      <c r="B42" s="220"/>
      <c r="C42" s="103" t="s">
        <v>171</v>
      </c>
      <c r="D42" s="104"/>
      <c r="E42" s="105"/>
      <c r="F42" s="136"/>
      <c r="G42" s="137"/>
      <c r="H42" s="138">
        <f>G42*F42</f>
        <v>0</v>
      </c>
      <c r="I42" s="139"/>
      <c r="J42" s="140"/>
      <c r="K42" s="141">
        <f>I42*J42</f>
        <v>0</v>
      </c>
      <c r="L42" s="112"/>
      <c r="M42" s="113" t="str">
        <f t="shared" si="10"/>
        <v/>
      </c>
      <c r="N42" s="114" t="str">
        <f t="shared" si="11"/>
        <v/>
      </c>
      <c r="O42" s="976"/>
      <c r="P42" s="977"/>
      <c r="Q42" s="978"/>
      <c r="R42" s="251"/>
    </row>
    <row r="43" spans="2:18" ht="15.75" thickBot="1">
      <c r="B43" s="220"/>
      <c r="C43" s="127" t="s">
        <v>128</v>
      </c>
      <c r="D43" s="128"/>
      <c r="E43" s="129"/>
      <c r="F43" s="130"/>
      <c r="G43" s="131"/>
      <c r="H43" s="132">
        <f>SUM(H41:H42)</f>
        <v>888.91199999999992</v>
      </c>
      <c r="I43" s="133"/>
      <c r="J43" s="131"/>
      <c r="K43" s="132">
        <f>SUM(K41:K42)</f>
        <v>0</v>
      </c>
      <c r="L43" s="133"/>
      <c r="M43" s="131">
        <f>SUM(M41:M42)</f>
        <v>0</v>
      </c>
      <c r="N43" s="135" t="str">
        <f>IF(M43&gt;0,"Poupou",IF(M43=0,"Planejado","Estourou"))</f>
        <v>Planejado</v>
      </c>
      <c r="O43" s="949"/>
      <c r="P43" s="950"/>
      <c r="Q43" s="951"/>
      <c r="R43" s="251"/>
    </row>
    <row r="44" spans="2:18">
      <c r="B44" s="220"/>
      <c r="C44" s="115" t="s">
        <v>173</v>
      </c>
      <c r="D44" s="116" t="s">
        <v>174</v>
      </c>
      <c r="E44" s="117" t="s">
        <v>178</v>
      </c>
      <c r="F44" s="118">
        <f>(DADOS!F39*DADOS!F40)*DADOS!S59</f>
        <v>2060.8000000000002</v>
      </c>
      <c r="G44" s="119">
        <v>3</v>
      </c>
      <c r="H44" s="120">
        <f>G44*F44</f>
        <v>6182.4000000000005</v>
      </c>
      <c r="I44" s="121"/>
      <c r="J44" s="142"/>
      <c r="K44" s="123">
        <f>I44*J44</f>
        <v>0</v>
      </c>
      <c r="L44" s="143"/>
      <c r="M44" s="125" t="str">
        <f t="shared" si="10"/>
        <v/>
      </c>
      <c r="N44" s="126" t="str">
        <f t="shared" si="11"/>
        <v/>
      </c>
      <c r="O44" s="979"/>
      <c r="P44" s="980"/>
      <c r="Q44" s="981"/>
      <c r="R44" s="251"/>
    </row>
    <row r="45" spans="2:18">
      <c r="B45" s="220"/>
      <c r="C45" s="75" t="s">
        <v>173</v>
      </c>
      <c r="D45" s="76" t="s">
        <v>175</v>
      </c>
      <c r="E45" s="93" t="s">
        <v>178</v>
      </c>
      <c r="F45" s="95">
        <f>DADOS!F42*3</f>
        <v>55.800000000000004</v>
      </c>
      <c r="G45" s="83">
        <v>5</v>
      </c>
      <c r="H45" s="98">
        <f t="shared" ref="H45:H53" si="12">G45*F45</f>
        <v>279</v>
      </c>
      <c r="I45" s="96"/>
      <c r="J45" s="81"/>
      <c r="K45" s="101">
        <f t="shared" ref="K45:K109" si="13">I45*J45</f>
        <v>0</v>
      </c>
      <c r="L45" s="100"/>
      <c r="M45" s="79" t="str">
        <f t="shared" si="10"/>
        <v/>
      </c>
      <c r="N45" s="102" t="str">
        <f t="shared" si="11"/>
        <v/>
      </c>
      <c r="O45" s="973"/>
      <c r="P45" s="974"/>
      <c r="Q45" s="975"/>
      <c r="R45" s="251"/>
    </row>
    <row r="46" spans="2:18">
      <c r="B46" s="220"/>
      <c r="C46" s="75" t="s">
        <v>173</v>
      </c>
      <c r="D46" s="76" t="s">
        <v>177</v>
      </c>
      <c r="E46" s="93" t="s">
        <v>178</v>
      </c>
      <c r="F46" s="95">
        <v>1</v>
      </c>
      <c r="G46" s="83">
        <f>DADOS!F39*DADOS!S58</f>
        <v>4370</v>
      </c>
      <c r="H46" s="98">
        <f t="shared" si="12"/>
        <v>4370</v>
      </c>
      <c r="I46" s="96"/>
      <c r="J46" s="81"/>
      <c r="K46" s="101">
        <f t="shared" si="13"/>
        <v>0</v>
      </c>
      <c r="L46" s="100"/>
      <c r="M46" s="79" t="str">
        <f t="shared" si="10"/>
        <v/>
      </c>
      <c r="N46" s="102" t="str">
        <f t="shared" si="11"/>
        <v/>
      </c>
      <c r="O46" s="973"/>
      <c r="P46" s="974"/>
      <c r="Q46" s="975"/>
      <c r="R46" s="251"/>
    </row>
    <row r="47" spans="2:18">
      <c r="B47" s="220"/>
      <c r="C47" s="75" t="s">
        <v>173</v>
      </c>
      <c r="D47" s="76" t="s">
        <v>176</v>
      </c>
      <c r="E47" s="93" t="s">
        <v>142</v>
      </c>
      <c r="F47" s="95">
        <f>DADOS!F12*DADOS!S71</f>
        <v>24.692</v>
      </c>
      <c r="G47" s="83">
        <v>18</v>
      </c>
      <c r="H47" s="98">
        <f t="shared" si="12"/>
        <v>444.45600000000002</v>
      </c>
      <c r="I47" s="96"/>
      <c r="J47" s="81"/>
      <c r="K47" s="101">
        <f t="shared" si="13"/>
        <v>0</v>
      </c>
      <c r="L47" s="100"/>
      <c r="M47" s="79" t="str">
        <f t="shared" si="10"/>
        <v/>
      </c>
      <c r="N47" s="102" t="str">
        <f t="shared" si="11"/>
        <v/>
      </c>
      <c r="O47" s="973"/>
      <c r="P47" s="974"/>
      <c r="Q47" s="975"/>
      <c r="R47" s="251"/>
    </row>
    <row r="48" spans="2:18">
      <c r="B48" s="220"/>
      <c r="C48" s="75" t="s">
        <v>173</v>
      </c>
      <c r="D48" s="76" t="s">
        <v>1146</v>
      </c>
      <c r="E48" s="93" t="s">
        <v>563</v>
      </c>
      <c r="F48" s="95">
        <v>14.5</v>
      </c>
      <c r="G48" s="83">
        <v>130</v>
      </c>
      <c r="H48" s="98">
        <f t="shared" si="12"/>
        <v>1885</v>
      </c>
      <c r="I48" s="96"/>
      <c r="J48" s="81"/>
      <c r="K48" s="101">
        <f t="shared" si="13"/>
        <v>0</v>
      </c>
      <c r="L48" s="100"/>
      <c r="M48" s="79" t="str">
        <f t="shared" si="10"/>
        <v/>
      </c>
      <c r="N48" s="102" t="str">
        <f t="shared" si="11"/>
        <v/>
      </c>
      <c r="O48" s="973"/>
      <c r="P48" s="974"/>
      <c r="Q48" s="975"/>
      <c r="R48" s="251"/>
    </row>
    <row r="49" spans="2:19" ht="15.75" thickBot="1">
      <c r="B49" s="220"/>
      <c r="C49" s="103" t="s">
        <v>173</v>
      </c>
      <c r="D49" s="104"/>
      <c r="E49" s="105"/>
      <c r="F49" s="136"/>
      <c r="G49" s="137"/>
      <c r="H49" s="138">
        <f t="shared" si="12"/>
        <v>0</v>
      </c>
      <c r="I49" s="139"/>
      <c r="J49" s="152"/>
      <c r="K49" s="141">
        <f t="shared" si="13"/>
        <v>0</v>
      </c>
      <c r="L49" s="153"/>
      <c r="M49" s="113" t="str">
        <f t="shared" si="10"/>
        <v/>
      </c>
      <c r="N49" s="114" t="str">
        <f t="shared" si="11"/>
        <v/>
      </c>
      <c r="O49" s="976"/>
      <c r="P49" s="977"/>
      <c r="Q49" s="978"/>
      <c r="R49" s="251"/>
    </row>
    <row r="50" spans="2:19" ht="15.75" thickBot="1">
      <c r="B50" s="220"/>
      <c r="C50" s="144" t="s">
        <v>128</v>
      </c>
      <c r="D50" s="145"/>
      <c r="E50" s="146"/>
      <c r="F50" s="147"/>
      <c r="G50" s="148"/>
      <c r="H50" s="149">
        <f>SUM(H44:H49)</f>
        <v>13160.856000000002</v>
      </c>
      <c r="I50" s="150"/>
      <c r="J50" s="148"/>
      <c r="K50" s="149">
        <f>SUM(K44:K49)</f>
        <v>0</v>
      </c>
      <c r="L50" s="150"/>
      <c r="M50" s="148">
        <f>SUM(M44:M49)</f>
        <v>0</v>
      </c>
      <c r="N50" s="151" t="str">
        <f>IF(M50&gt;0,"Poupou",IF(M50=0,"Planejado","Estourou"))</f>
        <v>Planejado</v>
      </c>
      <c r="O50" s="949"/>
      <c r="P50" s="950"/>
      <c r="Q50" s="951"/>
      <c r="R50" s="251"/>
    </row>
    <row r="51" spans="2:19">
      <c r="B51" s="220"/>
      <c r="C51" s="115" t="s">
        <v>181</v>
      </c>
      <c r="D51" s="116" t="s">
        <v>135</v>
      </c>
      <c r="E51" s="117" t="s">
        <v>137</v>
      </c>
      <c r="F51" s="118">
        <f>DADOS!S23</f>
        <v>106.83076923076922</v>
      </c>
      <c r="G51" s="119">
        <v>60</v>
      </c>
      <c r="H51" s="120">
        <f t="shared" si="12"/>
        <v>6409.8461538461534</v>
      </c>
      <c r="I51" s="121"/>
      <c r="J51" s="122"/>
      <c r="K51" s="123">
        <f t="shared" si="13"/>
        <v>0</v>
      </c>
      <c r="L51" s="143"/>
      <c r="M51" s="125" t="str">
        <f t="shared" si="10"/>
        <v/>
      </c>
      <c r="N51" s="126" t="str">
        <f t="shared" si="11"/>
        <v/>
      </c>
      <c r="O51" s="979"/>
      <c r="P51" s="980"/>
      <c r="Q51" s="981"/>
      <c r="R51" s="251"/>
    </row>
    <row r="52" spans="2:19">
      <c r="B52" s="220"/>
      <c r="C52" s="75" t="s">
        <v>181</v>
      </c>
      <c r="D52" s="76"/>
      <c r="E52" s="93"/>
      <c r="F52" s="95"/>
      <c r="G52" s="83"/>
      <c r="H52" s="98">
        <f t="shared" si="12"/>
        <v>0</v>
      </c>
      <c r="I52" s="96"/>
      <c r="J52" s="82"/>
      <c r="K52" s="101">
        <f t="shared" si="13"/>
        <v>0</v>
      </c>
      <c r="L52" s="100"/>
      <c r="M52" s="79" t="str">
        <f t="shared" si="10"/>
        <v/>
      </c>
      <c r="N52" s="102" t="str">
        <f t="shared" si="11"/>
        <v/>
      </c>
      <c r="O52" s="973"/>
      <c r="P52" s="974"/>
      <c r="Q52" s="975"/>
      <c r="R52" s="251"/>
    </row>
    <row r="53" spans="2:19" ht="15.75" thickBot="1">
      <c r="B53" s="220"/>
      <c r="C53" s="103" t="s">
        <v>181</v>
      </c>
      <c r="D53" s="104"/>
      <c r="E53" s="105"/>
      <c r="F53" s="136"/>
      <c r="G53" s="137"/>
      <c r="H53" s="138">
        <f t="shared" si="12"/>
        <v>0</v>
      </c>
      <c r="I53" s="139"/>
      <c r="J53" s="140"/>
      <c r="K53" s="141">
        <f t="shared" si="13"/>
        <v>0</v>
      </c>
      <c r="L53" s="153"/>
      <c r="M53" s="113" t="str">
        <f t="shared" si="10"/>
        <v/>
      </c>
      <c r="N53" s="114" t="str">
        <f t="shared" si="11"/>
        <v/>
      </c>
      <c r="O53" s="976"/>
      <c r="P53" s="977"/>
      <c r="Q53" s="978"/>
      <c r="R53" s="251"/>
    </row>
    <row r="54" spans="2:19" ht="15.75" thickBot="1">
      <c r="B54" s="220"/>
      <c r="C54" s="144" t="s">
        <v>128</v>
      </c>
      <c r="D54" s="145"/>
      <c r="E54" s="146"/>
      <c r="F54" s="147"/>
      <c r="G54" s="148"/>
      <c r="H54" s="149">
        <f>SUM(H51:H53)</f>
        <v>6409.8461538461534</v>
      </c>
      <c r="I54" s="150"/>
      <c r="J54" s="148"/>
      <c r="K54" s="149">
        <f>SUM(K51:K53)</f>
        <v>0</v>
      </c>
      <c r="L54" s="150"/>
      <c r="M54" s="148">
        <f>SUM(M51:M53)</f>
        <v>0</v>
      </c>
      <c r="N54" s="151" t="str">
        <f>IF(M54&gt;0,"Poupou",IF(M54=0,"Planejado","Estourou"))</f>
        <v>Planejado</v>
      </c>
      <c r="O54" s="949"/>
      <c r="P54" s="950"/>
      <c r="Q54" s="951"/>
      <c r="R54" s="251"/>
    </row>
    <row r="55" spans="2:19">
      <c r="B55" s="220"/>
      <c r="C55" s="115" t="s">
        <v>172</v>
      </c>
      <c r="D55" s="116" t="s">
        <v>135</v>
      </c>
      <c r="E55" s="117" t="s">
        <v>137</v>
      </c>
      <c r="F55" s="118">
        <f>DADOS!S31+DADOS!S33</f>
        <v>94.822000000000003</v>
      </c>
      <c r="G55" s="119">
        <v>60</v>
      </c>
      <c r="H55" s="120">
        <f>G55*F55</f>
        <v>5689.32</v>
      </c>
      <c r="I55" s="121"/>
      <c r="J55" s="122"/>
      <c r="K55" s="123">
        <f t="shared" si="13"/>
        <v>0</v>
      </c>
      <c r="L55" s="143"/>
      <c r="M55" s="125" t="str">
        <f t="shared" si="10"/>
        <v/>
      </c>
      <c r="N55" s="126" t="str">
        <f t="shared" si="11"/>
        <v/>
      </c>
      <c r="O55" s="979"/>
      <c r="P55" s="980"/>
      <c r="Q55" s="981"/>
      <c r="R55" s="251"/>
    </row>
    <row r="56" spans="2:19">
      <c r="B56" s="220"/>
      <c r="C56" s="75" t="s">
        <v>172</v>
      </c>
      <c r="D56" s="76"/>
      <c r="E56" s="93"/>
      <c r="F56" s="95"/>
      <c r="G56" s="83"/>
      <c r="H56" s="98">
        <f t="shared" ref="H56:H120" si="14">G56*F56</f>
        <v>0</v>
      </c>
      <c r="I56" s="96"/>
      <c r="J56" s="82"/>
      <c r="K56" s="101">
        <f t="shared" si="13"/>
        <v>0</v>
      </c>
      <c r="L56" s="100"/>
      <c r="M56" s="79" t="str">
        <f t="shared" si="10"/>
        <v/>
      </c>
      <c r="N56" s="102" t="str">
        <f t="shared" si="11"/>
        <v/>
      </c>
      <c r="O56" s="973"/>
      <c r="P56" s="974"/>
      <c r="Q56" s="975"/>
      <c r="R56" s="251"/>
    </row>
    <row r="57" spans="2:19" ht="15.75" thickBot="1">
      <c r="B57" s="220"/>
      <c r="C57" s="103" t="s">
        <v>172</v>
      </c>
      <c r="D57" s="104"/>
      <c r="E57" s="105"/>
      <c r="F57" s="136"/>
      <c r="G57" s="137"/>
      <c r="H57" s="138">
        <f t="shared" si="14"/>
        <v>0</v>
      </c>
      <c r="I57" s="139"/>
      <c r="J57" s="140"/>
      <c r="K57" s="141">
        <f t="shared" si="13"/>
        <v>0</v>
      </c>
      <c r="L57" s="153"/>
      <c r="M57" s="113" t="str">
        <f t="shared" si="10"/>
        <v/>
      </c>
      <c r="N57" s="114" t="str">
        <f t="shared" si="11"/>
        <v/>
      </c>
      <c r="O57" s="976"/>
      <c r="P57" s="977"/>
      <c r="Q57" s="978"/>
      <c r="R57" s="251"/>
    </row>
    <row r="58" spans="2:19" ht="15.75" thickBot="1">
      <c r="B58" s="220"/>
      <c r="C58" s="127" t="s">
        <v>128</v>
      </c>
      <c r="D58" s="128"/>
      <c r="E58" s="129"/>
      <c r="F58" s="130"/>
      <c r="G58" s="131"/>
      <c r="H58" s="132">
        <f>SUM(H55:H57)</f>
        <v>5689.32</v>
      </c>
      <c r="I58" s="133"/>
      <c r="J58" s="131"/>
      <c r="K58" s="132">
        <f>SUM(K55:K57)</f>
        <v>0</v>
      </c>
      <c r="L58" s="133"/>
      <c r="M58" s="131">
        <f>SUM(M55:M57)</f>
        <v>0</v>
      </c>
      <c r="N58" s="135" t="str">
        <f>IF(M58&gt;0,"Poupou",IF(M58=0,"Planejado","Estourou"))</f>
        <v>Planejado</v>
      </c>
      <c r="O58" s="949"/>
      <c r="P58" s="950"/>
      <c r="Q58" s="951"/>
      <c r="R58" s="251"/>
    </row>
    <row r="59" spans="2:19">
      <c r="B59" s="220"/>
      <c r="C59" s="115" t="s">
        <v>183</v>
      </c>
      <c r="D59" s="116" t="s">
        <v>1117</v>
      </c>
      <c r="E59" s="117" t="s">
        <v>178</v>
      </c>
      <c r="F59" s="118">
        <v>13</v>
      </c>
      <c r="G59" s="119">
        <v>230</v>
      </c>
      <c r="H59" s="120">
        <f t="shared" si="14"/>
        <v>2990</v>
      </c>
      <c r="I59" s="121"/>
      <c r="J59" s="122"/>
      <c r="K59" s="123">
        <f t="shared" si="13"/>
        <v>0</v>
      </c>
      <c r="L59" s="143"/>
      <c r="M59" s="125" t="str">
        <f t="shared" si="10"/>
        <v/>
      </c>
      <c r="N59" s="126" t="str">
        <f t="shared" si="11"/>
        <v/>
      </c>
      <c r="O59" s="955"/>
      <c r="P59" s="956"/>
      <c r="Q59" s="957"/>
      <c r="R59" s="251"/>
      <c r="S59" s="80" t="s">
        <v>187</v>
      </c>
    </row>
    <row r="60" spans="2:19">
      <c r="B60" s="220"/>
      <c r="C60" s="75" t="s">
        <v>183</v>
      </c>
      <c r="D60" s="76" t="s">
        <v>185</v>
      </c>
      <c r="E60" s="93" t="s">
        <v>184</v>
      </c>
      <c r="F60" s="95">
        <f>F59+F64+F65</f>
        <v>34</v>
      </c>
      <c r="G60" s="83">
        <v>26</v>
      </c>
      <c r="H60" s="98">
        <f t="shared" si="14"/>
        <v>884</v>
      </c>
      <c r="I60" s="96"/>
      <c r="J60" s="82"/>
      <c r="K60" s="101">
        <f t="shared" si="13"/>
        <v>0</v>
      </c>
      <c r="L60" s="100"/>
      <c r="M60" s="79" t="str">
        <f t="shared" si="10"/>
        <v/>
      </c>
      <c r="N60" s="102" t="str">
        <f t="shared" si="11"/>
        <v/>
      </c>
      <c r="O60" s="973"/>
      <c r="P60" s="974"/>
      <c r="Q60" s="975"/>
      <c r="R60" s="251"/>
    </row>
    <row r="61" spans="2:19">
      <c r="B61" s="220"/>
      <c r="C61" s="75" t="s">
        <v>183</v>
      </c>
      <c r="D61" s="76" t="s">
        <v>189</v>
      </c>
      <c r="E61" s="93" t="s">
        <v>178</v>
      </c>
      <c r="F61" s="95">
        <f>F59+F64+F65</f>
        <v>34</v>
      </c>
      <c r="G61" s="83">
        <v>50</v>
      </c>
      <c r="H61" s="98">
        <f t="shared" si="14"/>
        <v>1700</v>
      </c>
      <c r="I61" s="96"/>
      <c r="J61" s="82"/>
      <c r="K61" s="101">
        <f t="shared" si="13"/>
        <v>0</v>
      </c>
      <c r="L61" s="100"/>
      <c r="M61" s="79" t="str">
        <f t="shared" si="10"/>
        <v/>
      </c>
      <c r="N61" s="102" t="str">
        <f t="shared" si="11"/>
        <v/>
      </c>
      <c r="O61" s="973"/>
      <c r="P61" s="974"/>
      <c r="Q61" s="975"/>
      <c r="R61" s="251"/>
    </row>
    <row r="62" spans="2:19">
      <c r="B62" s="220"/>
      <c r="C62" s="75" t="s">
        <v>183</v>
      </c>
      <c r="D62" s="76" t="s">
        <v>186</v>
      </c>
      <c r="E62" s="93" t="s">
        <v>178</v>
      </c>
      <c r="F62" s="95">
        <f>F59+F64+F65</f>
        <v>34</v>
      </c>
      <c r="G62" s="83">
        <v>40</v>
      </c>
      <c r="H62" s="98">
        <f t="shared" si="14"/>
        <v>1360</v>
      </c>
      <c r="I62" s="96"/>
      <c r="J62" s="82"/>
      <c r="K62" s="101">
        <f t="shared" si="13"/>
        <v>0</v>
      </c>
      <c r="L62" s="100"/>
      <c r="M62" s="79" t="str">
        <f t="shared" si="10"/>
        <v/>
      </c>
      <c r="N62" s="102" t="str">
        <f t="shared" si="11"/>
        <v/>
      </c>
      <c r="O62" s="973"/>
      <c r="P62" s="974"/>
      <c r="Q62" s="975"/>
      <c r="R62" s="251"/>
    </row>
    <row r="63" spans="2:19">
      <c r="B63" s="220"/>
      <c r="C63" s="75" t="s">
        <v>183</v>
      </c>
      <c r="D63" s="76" t="s">
        <v>1061</v>
      </c>
      <c r="E63" s="93" t="s">
        <v>178</v>
      </c>
      <c r="F63" s="95">
        <f>F59</f>
        <v>13</v>
      </c>
      <c r="G63" s="83">
        <v>50</v>
      </c>
      <c r="H63" s="98">
        <f t="shared" si="14"/>
        <v>650</v>
      </c>
      <c r="I63" s="96"/>
      <c r="J63" s="82"/>
      <c r="K63" s="101">
        <f t="shared" si="13"/>
        <v>0</v>
      </c>
      <c r="L63" s="100"/>
      <c r="M63" s="79" t="str">
        <f t="shared" si="10"/>
        <v/>
      </c>
      <c r="N63" s="102" t="str">
        <f t="shared" si="11"/>
        <v/>
      </c>
      <c r="O63" s="973"/>
      <c r="P63" s="974"/>
      <c r="Q63" s="975"/>
      <c r="R63" s="251"/>
    </row>
    <row r="64" spans="2:19">
      <c r="B64" s="220"/>
      <c r="C64" s="75" t="s">
        <v>183</v>
      </c>
      <c r="D64" s="848" t="s">
        <v>1076</v>
      </c>
      <c r="E64" s="93" t="s">
        <v>167</v>
      </c>
      <c r="F64" s="95">
        <v>20</v>
      </c>
      <c r="G64" s="83">
        <v>250</v>
      </c>
      <c r="H64" s="98">
        <f t="shared" si="14"/>
        <v>5000</v>
      </c>
      <c r="I64" s="96"/>
      <c r="J64" s="82"/>
      <c r="K64" s="101">
        <f t="shared" si="13"/>
        <v>0</v>
      </c>
      <c r="L64" s="100"/>
      <c r="M64" s="79" t="str">
        <f t="shared" si="10"/>
        <v/>
      </c>
      <c r="N64" s="102" t="str">
        <f t="shared" si="11"/>
        <v/>
      </c>
      <c r="O64" s="955"/>
      <c r="P64" s="956"/>
      <c r="Q64" s="957"/>
      <c r="R64" s="251"/>
    </row>
    <row r="65" spans="2:18">
      <c r="B65" s="220"/>
      <c r="C65" s="75" t="s">
        <v>183</v>
      </c>
      <c r="D65" s="848" t="s">
        <v>1075</v>
      </c>
      <c r="E65" s="93" t="s">
        <v>178</v>
      </c>
      <c r="F65" s="95">
        <v>1</v>
      </c>
      <c r="G65" s="83">
        <v>850</v>
      </c>
      <c r="H65" s="98">
        <f t="shared" si="14"/>
        <v>850</v>
      </c>
      <c r="I65" s="96"/>
      <c r="J65" s="82"/>
      <c r="K65" s="101">
        <f t="shared" si="13"/>
        <v>0</v>
      </c>
      <c r="L65" s="100"/>
      <c r="M65" s="79" t="str">
        <f t="shared" si="10"/>
        <v/>
      </c>
      <c r="N65" s="102" t="str">
        <f t="shared" si="11"/>
        <v/>
      </c>
      <c r="O65" s="955"/>
      <c r="P65" s="956"/>
      <c r="Q65" s="957"/>
      <c r="R65" s="251"/>
    </row>
    <row r="66" spans="2:18">
      <c r="B66" s="220"/>
      <c r="C66" s="75" t="s">
        <v>183</v>
      </c>
      <c r="D66" s="88"/>
      <c r="E66" s="93"/>
      <c r="F66" s="95"/>
      <c r="G66" s="83"/>
      <c r="H66" s="98">
        <f t="shared" si="14"/>
        <v>0</v>
      </c>
      <c r="I66" s="96"/>
      <c r="J66" s="82"/>
      <c r="K66" s="101">
        <f t="shared" si="13"/>
        <v>0</v>
      </c>
      <c r="L66" s="100"/>
      <c r="M66" s="79" t="str">
        <f t="shared" si="10"/>
        <v/>
      </c>
      <c r="N66" s="102" t="str">
        <f t="shared" si="11"/>
        <v/>
      </c>
      <c r="O66" s="973"/>
      <c r="P66" s="974"/>
      <c r="Q66" s="975"/>
      <c r="R66" s="251"/>
    </row>
    <row r="67" spans="2:18" ht="15.75" thickBot="1">
      <c r="B67" s="220"/>
      <c r="C67" s="103" t="s">
        <v>183</v>
      </c>
      <c r="D67" s="104"/>
      <c r="E67" s="105"/>
      <c r="F67" s="136"/>
      <c r="G67" s="137"/>
      <c r="H67" s="138">
        <f t="shared" si="14"/>
        <v>0</v>
      </c>
      <c r="I67" s="139"/>
      <c r="J67" s="140"/>
      <c r="K67" s="141">
        <f t="shared" si="13"/>
        <v>0</v>
      </c>
      <c r="L67" s="153"/>
      <c r="M67" s="113" t="str">
        <f t="shared" si="10"/>
        <v/>
      </c>
      <c r="N67" s="114" t="str">
        <f t="shared" si="11"/>
        <v/>
      </c>
      <c r="O67" s="976"/>
      <c r="P67" s="977"/>
      <c r="Q67" s="978"/>
      <c r="R67" s="251"/>
    </row>
    <row r="68" spans="2:18" ht="15.75" thickBot="1">
      <c r="B68" s="220"/>
      <c r="C68" s="127" t="s">
        <v>128</v>
      </c>
      <c r="D68" s="128"/>
      <c r="E68" s="129"/>
      <c r="F68" s="130"/>
      <c r="G68" s="131"/>
      <c r="H68" s="132">
        <f>SUM(H59:H67)</f>
        <v>13434</v>
      </c>
      <c r="I68" s="133"/>
      <c r="J68" s="131"/>
      <c r="K68" s="132">
        <f>SUM(K59:K67)</f>
        <v>0</v>
      </c>
      <c r="L68" s="133"/>
      <c r="M68" s="131">
        <f>SUM(M59:M67)</f>
        <v>0</v>
      </c>
      <c r="N68" s="135" t="str">
        <f>IF(M68&gt;0,"Poupou",IF(M68=0,"Planejado","Estourou"))</f>
        <v>Planejado</v>
      </c>
      <c r="O68" s="949"/>
      <c r="P68" s="950"/>
      <c r="Q68" s="951"/>
      <c r="R68" s="251"/>
    </row>
    <row r="69" spans="2:18">
      <c r="B69" s="220"/>
      <c r="C69" s="115" t="s">
        <v>188</v>
      </c>
      <c r="D69" s="116" t="s">
        <v>244</v>
      </c>
      <c r="E69" s="117" t="s">
        <v>167</v>
      </c>
      <c r="F69" s="118">
        <f>DADOS!F12+((DADOS!F13+DADOS!F15)*DADOS!S66)</f>
        <v>336.91999999999996</v>
      </c>
      <c r="G69" s="119">
        <v>40</v>
      </c>
      <c r="H69" s="120">
        <f t="shared" si="14"/>
        <v>13476.8</v>
      </c>
      <c r="I69" s="121"/>
      <c r="J69" s="122"/>
      <c r="K69" s="123">
        <f t="shared" si="13"/>
        <v>0</v>
      </c>
      <c r="L69" s="143"/>
      <c r="M69" s="125" t="str">
        <f t="shared" si="10"/>
        <v/>
      </c>
      <c r="N69" s="126" t="str">
        <f t="shared" si="11"/>
        <v/>
      </c>
      <c r="O69" s="979"/>
      <c r="P69" s="980"/>
      <c r="Q69" s="981"/>
      <c r="R69" s="251"/>
    </row>
    <row r="70" spans="2:18">
      <c r="B70" s="220"/>
      <c r="C70" s="75" t="s">
        <v>188</v>
      </c>
      <c r="D70" s="76" t="s">
        <v>190</v>
      </c>
      <c r="E70" s="93" t="s">
        <v>142</v>
      </c>
      <c r="F70" s="95">
        <f>F69/DADOS!S64</f>
        <v>112.30666666666666</v>
      </c>
      <c r="G70" s="83">
        <v>8</v>
      </c>
      <c r="H70" s="98">
        <f t="shared" si="14"/>
        <v>898.45333333333326</v>
      </c>
      <c r="I70" s="96"/>
      <c r="J70" s="82"/>
      <c r="K70" s="101">
        <f t="shared" si="13"/>
        <v>0</v>
      </c>
      <c r="L70" s="100"/>
      <c r="M70" s="79" t="str">
        <f t="shared" si="10"/>
        <v/>
      </c>
      <c r="N70" s="102" t="str">
        <f t="shared" si="11"/>
        <v/>
      </c>
      <c r="O70" s="973"/>
      <c r="P70" s="974"/>
      <c r="Q70" s="975"/>
      <c r="R70" s="251"/>
    </row>
    <row r="71" spans="2:18">
      <c r="B71" s="220"/>
      <c r="C71" s="75" t="s">
        <v>188</v>
      </c>
      <c r="D71" s="76" t="s">
        <v>191</v>
      </c>
      <c r="E71" s="93" t="s">
        <v>137</v>
      </c>
      <c r="F71" s="95">
        <f>F69/DADOS!S65</f>
        <v>84.22999999999999</v>
      </c>
      <c r="G71" s="83">
        <v>18</v>
      </c>
      <c r="H71" s="98">
        <f t="shared" si="14"/>
        <v>1516.1399999999999</v>
      </c>
      <c r="I71" s="96"/>
      <c r="J71" s="82"/>
      <c r="K71" s="101">
        <f t="shared" si="13"/>
        <v>0</v>
      </c>
      <c r="L71" s="100"/>
      <c r="M71" s="79" t="str">
        <f t="shared" si="10"/>
        <v/>
      </c>
      <c r="N71" s="102" t="str">
        <f t="shared" si="11"/>
        <v/>
      </c>
      <c r="O71" s="973"/>
      <c r="P71" s="974"/>
      <c r="Q71" s="975"/>
      <c r="R71" s="251"/>
    </row>
    <row r="72" spans="2:18">
      <c r="B72" s="220"/>
      <c r="C72" s="75" t="s">
        <v>188</v>
      </c>
      <c r="D72" s="76" t="s">
        <v>192</v>
      </c>
      <c r="E72" s="93" t="s">
        <v>194</v>
      </c>
      <c r="F72" s="95">
        <v>10</v>
      </c>
      <c r="G72" s="83">
        <v>40</v>
      </c>
      <c r="H72" s="98">
        <f t="shared" si="14"/>
        <v>400</v>
      </c>
      <c r="I72" s="96"/>
      <c r="J72" s="82"/>
      <c r="K72" s="101">
        <f t="shared" si="13"/>
        <v>0</v>
      </c>
      <c r="L72" s="100"/>
      <c r="M72" s="79" t="str">
        <f t="shared" si="10"/>
        <v/>
      </c>
      <c r="N72" s="102" t="str">
        <f t="shared" si="11"/>
        <v/>
      </c>
      <c r="O72" s="955"/>
      <c r="P72" s="956"/>
      <c r="Q72" s="957"/>
      <c r="R72" s="251"/>
    </row>
    <row r="73" spans="2:18">
      <c r="B73" s="220"/>
      <c r="C73" s="75" t="s">
        <v>188</v>
      </c>
      <c r="D73" s="76" t="s">
        <v>195</v>
      </c>
      <c r="E73" s="93" t="s">
        <v>178</v>
      </c>
      <c r="F73" s="95">
        <v>1</v>
      </c>
      <c r="G73" s="83">
        <v>350</v>
      </c>
      <c r="H73" s="98">
        <f t="shared" si="14"/>
        <v>350</v>
      </c>
      <c r="I73" s="96"/>
      <c r="J73" s="82"/>
      <c r="K73" s="101">
        <f t="shared" si="13"/>
        <v>0</v>
      </c>
      <c r="L73" s="100"/>
      <c r="M73" s="79" t="str">
        <f t="shared" si="10"/>
        <v/>
      </c>
      <c r="N73" s="102" t="str">
        <f t="shared" si="11"/>
        <v/>
      </c>
      <c r="O73" s="955"/>
      <c r="P73" s="956"/>
      <c r="Q73" s="957"/>
      <c r="R73" s="251"/>
    </row>
    <row r="74" spans="2:18">
      <c r="B74" s="220"/>
      <c r="C74" s="75" t="s">
        <v>188</v>
      </c>
      <c r="D74" s="76" t="s">
        <v>193</v>
      </c>
      <c r="E74" s="93" t="s">
        <v>178</v>
      </c>
      <c r="F74" s="95">
        <f>F59+F64+F65</f>
        <v>34</v>
      </c>
      <c r="G74" s="83">
        <v>40</v>
      </c>
      <c r="H74" s="98">
        <f t="shared" si="14"/>
        <v>1360</v>
      </c>
      <c r="I74" s="96"/>
      <c r="J74" s="82"/>
      <c r="K74" s="101">
        <f t="shared" si="13"/>
        <v>0</v>
      </c>
      <c r="L74" s="100"/>
      <c r="M74" s="79" t="str">
        <f t="shared" si="10"/>
        <v/>
      </c>
      <c r="N74" s="102" t="str">
        <f t="shared" si="11"/>
        <v/>
      </c>
      <c r="O74" s="973"/>
      <c r="P74" s="974"/>
      <c r="Q74" s="975"/>
      <c r="R74" s="251"/>
    </row>
    <row r="75" spans="2:18">
      <c r="B75" s="220"/>
      <c r="C75" s="75" t="s">
        <v>188</v>
      </c>
      <c r="D75" s="76"/>
      <c r="E75" s="93"/>
      <c r="F75" s="95"/>
      <c r="G75" s="83"/>
      <c r="H75" s="98">
        <f t="shared" si="14"/>
        <v>0</v>
      </c>
      <c r="I75" s="96"/>
      <c r="J75" s="82"/>
      <c r="K75" s="101">
        <f t="shared" si="13"/>
        <v>0</v>
      </c>
      <c r="L75" s="100"/>
      <c r="M75" s="79" t="str">
        <f t="shared" si="10"/>
        <v/>
      </c>
      <c r="N75" s="102" t="str">
        <f t="shared" si="11"/>
        <v/>
      </c>
      <c r="O75" s="973"/>
      <c r="P75" s="974"/>
      <c r="Q75" s="975"/>
      <c r="R75" s="251"/>
    </row>
    <row r="76" spans="2:18" ht="15.75" thickBot="1">
      <c r="B76" s="220"/>
      <c r="C76" s="103" t="s">
        <v>188</v>
      </c>
      <c r="D76" s="104"/>
      <c r="E76" s="105"/>
      <c r="F76" s="136"/>
      <c r="G76" s="137"/>
      <c r="H76" s="138">
        <f t="shared" si="14"/>
        <v>0</v>
      </c>
      <c r="I76" s="139"/>
      <c r="J76" s="140"/>
      <c r="K76" s="141">
        <f t="shared" si="13"/>
        <v>0</v>
      </c>
      <c r="L76" s="153"/>
      <c r="M76" s="113" t="str">
        <f t="shared" si="10"/>
        <v/>
      </c>
      <c r="N76" s="114" t="str">
        <f t="shared" si="11"/>
        <v/>
      </c>
      <c r="O76" s="976"/>
      <c r="P76" s="977"/>
      <c r="Q76" s="978"/>
      <c r="R76" s="251"/>
    </row>
    <row r="77" spans="2:18" ht="15.75" thickBot="1">
      <c r="B77" s="220"/>
      <c r="C77" s="127" t="s">
        <v>128</v>
      </c>
      <c r="D77" s="128"/>
      <c r="E77" s="129"/>
      <c r="F77" s="130"/>
      <c r="G77" s="131"/>
      <c r="H77" s="132">
        <f>SUM(H69:H76)</f>
        <v>18001.393333333333</v>
      </c>
      <c r="I77" s="133"/>
      <c r="J77" s="131"/>
      <c r="K77" s="132">
        <f>SUM(K69:K76)</f>
        <v>0</v>
      </c>
      <c r="L77" s="133"/>
      <c r="M77" s="131">
        <f>SUM(M69:M76)</f>
        <v>0</v>
      </c>
      <c r="N77" s="135" t="str">
        <f>IF(M77&gt;0,"Poupou",IF(M77=0,"Planejado","Estourou"))</f>
        <v>Planejado</v>
      </c>
      <c r="O77" s="949"/>
      <c r="P77" s="950"/>
      <c r="Q77" s="951"/>
      <c r="R77" s="251"/>
    </row>
    <row r="78" spans="2:18">
      <c r="B78" s="220"/>
      <c r="C78" s="115" t="s">
        <v>196</v>
      </c>
      <c r="D78" s="116" t="s">
        <v>197</v>
      </c>
      <c r="E78" s="117" t="s">
        <v>178</v>
      </c>
      <c r="F78" s="118">
        <f>DADOS!F12/DADOS!S77</f>
        <v>4.4092857142857138</v>
      </c>
      <c r="G78" s="119">
        <v>80</v>
      </c>
      <c r="H78" s="120">
        <f t="shared" si="14"/>
        <v>352.74285714285713</v>
      </c>
      <c r="I78" s="121"/>
      <c r="J78" s="122"/>
      <c r="K78" s="123">
        <f t="shared" si="13"/>
        <v>0</v>
      </c>
      <c r="L78" s="143"/>
      <c r="M78" s="125" t="str">
        <f t="shared" si="10"/>
        <v/>
      </c>
      <c r="N78" s="126" t="str">
        <f t="shared" si="11"/>
        <v/>
      </c>
      <c r="O78" s="979"/>
      <c r="P78" s="980"/>
      <c r="Q78" s="981"/>
      <c r="R78" s="251"/>
    </row>
    <row r="79" spans="2:18">
      <c r="B79" s="220"/>
      <c r="C79" s="75" t="s">
        <v>196</v>
      </c>
      <c r="D79" s="76" t="s">
        <v>198</v>
      </c>
      <c r="E79" s="93" t="s">
        <v>199</v>
      </c>
      <c r="F79" s="95">
        <f>DADOS!F12/DADOS!S76</f>
        <v>20.576666666666664</v>
      </c>
      <c r="G79" s="83">
        <v>120</v>
      </c>
      <c r="H79" s="98">
        <f t="shared" si="14"/>
        <v>2469.1999999999998</v>
      </c>
      <c r="I79" s="96"/>
      <c r="J79" s="82"/>
      <c r="K79" s="101">
        <f t="shared" si="13"/>
        <v>0</v>
      </c>
      <c r="L79" s="100"/>
      <c r="M79" s="79" t="str">
        <f t="shared" si="10"/>
        <v/>
      </c>
      <c r="N79" s="102" t="str">
        <f t="shared" si="11"/>
        <v/>
      </c>
      <c r="O79" s="973"/>
      <c r="P79" s="974"/>
      <c r="Q79" s="975"/>
      <c r="R79" s="251"/>
    </row>
    <row r="80" spans="2:18">
      <c r="B80" s="220"/>
      <c r="C80" s="75" t="s">
        <v>196</v>
      </c>
      <c r="D80" s="76" t="s">
        <v>200</v>
      </c>
      <c r="E80" s="93" t="s">
        <v>178</v>
      </c>
      <c r="F80" s="95">
        <f>F78</f>
        <v>4.4092857142857138</v>
      </c>
      <c r="G80" s="83">
        <v>150</v>
      </c>
      <c r="H80" s="98">
        <f t="shared" si="14"/>
        <v>661.39285714285711</v>
      </c>
      <c r="I80" s="96"/>
      <c r="J80" s="82"/>
      <c r="K80" s="101">
        <f t="shared" si="13"/>
        <v>0</v>
      </c>
      <c r="L80" s="100"/>
      <c r="M80" s="79" t="str">
        <f t="shared" si="10"/>
        <v/>
      </c>
      <c r="N80" s="102" t="str">
        <f t="shared" si="11"/>
        <v/>
      </c>
      <c r="O80" s="973"/>
      <c r="P80" s="974"/>
      <c r="Q80" s="975"/>
      <c r="R80" s="251"/>
    </row>
    <row r="81" spans="2:18">
      <c r="B81" s="220"/>
      <c r="C81" s="75" t="s">
        <v>196</v>
      </c>
      <c r="D81" s="76" t="s">
        <v>201</v>
      </c>
      <c r="E81" s="93" t="s">
        <v>178</v>
      </c>
      <c r="F81" s="95">
        <f>DADOS!R9*1/DADOS!S75</f>
        <v>57.866666666666667</v>
      </c>
      <c r="G81" s="83">
        <v>130</v>
      </c>
      <c r="H81" s="98">
        <f t="shared" si="14"/>
        <v>7522.666666666667</v>
      </c>
      <c r="I81" s="96"/>
      <c r="J81" s="82"/>
      <c r="K81" s="101">
        <f t="shared" si="13"/>
        <v>0</v>
      </c>
      <c r="L81" s="100"/>
      <c r="M81" s="79" t="str">
        <f t="shared" si="10"/>
        <v/>
      </c>
      <c r="N81" s="102" t="str">
        <f t="shared" si="11"/>
        <v/>
      </c>
      <c r="O81" s="973"/>
      <c r="P81" s="974"/>
      <c r="Q81" s="975"/>
      <c r="R81" s="251"/>
    </row>
    <row r="82" spans="2:18">
      <c r="B82" s="220"/>
      <c r="C82" s="75" t="s">
        <v>196</v>
      </c>
      <c r="D82" s="76" t="s">
        <v>202</v>
      </c>
      <c r="E82" s="93" t="s">
        <v>178</v>
      </c>
      <c r="F82" s="95">
        <f>(DADOS!R9/DADOS!S74)*1.2</f>
        <v>4.9016470588235297</v>
      </c>
      <c r="G82" s="83">
        <v>450</v>
      </c>
      <c r="H82" s="98">
        <f t="shared" si="14"/>
        <v>2205.7411764705885</v>
      </c>
      <c r="I82" s="96"/>
      <c r="J82" s="82"/>
      <c r="K82" s="101">
        <f t="shared" si="13"/>
        <v>0</v>
      </c>
      <c r="L82" s="100"/>
      <c r="M82" s="79" t="str">
        <f t="shared" si="10"/>
        <v/>
      </c>
      <c r="N82" s="102" t="str">
        <f t="shared" si="11"/>
        <v/>
      </c>
      <c r="O82" s="973"/>
      <c r="P82" s="974"/>
      <c r="Q82" s="975"/>
      <c r="R82" s="251"/>
    </row>
    <row r="83" spans="2:18">
      <c r="B83" s="220"/>
      <c r="C83" s="75" t="s">
        <v>196</v>
      </c>
      <c r="D83" s="76" t="s">
        <v>203</v>
      </c>
      <c r="E83" s="93" t="s">
        <v>178</v>
      </c>
      <c r="F83" s="95">
        <v>2</v>
      </c>
      <c r="G83" s="83">
        <v>28</v>
      </c>
      <c r="H83" s="98">
        <f t="shared" si="14"/>
        <v>56</v>
      </c>
      <c r="I83" s="96"/>
      <c r="J83" s="82"/>
      <c r="K83" s="101">
        <f t="shared" si="13"/>
        <v>0</v>
      </c>
      <c r="L83" s="100"/>
      <c r="M83" s="79" t="str">
        <f t="shared" si="10"/>
        <v/>
      </c>
      <c r="N83" s="102" t="str">
        <f t="shared" si="11"/>
        <v/>
      </c>
      <c r="O83" s="955"/>
      <c r="P83" s="956"/>
      <c r="Q83" s="957"/>
      <c r="R83" s="251"/>
    </row>
    <row r="84" spans="2:18">
      <c r="B84" s="220"/>
      <c r="C84" s="75" t="s">
        <v>196</v>
      </c>
      <c r="D84" s="76" t="s">
        <v>204</v>
      </c>
      <c r="E84" s="93" t="s">
        <v>178</v>
      </c>
      <c r="F84" s="95">
        <f>F78</f>
        <v>4.4092857142857138</v>
      </c>
      <c r="G84" s="83">
        <v>24</v>
      </c>
      <c r="H84" s="98">
        <f t="shared" si="14"/>
        <v>105.82285714285713</v>
      </c>
      <c r="I84" s="96"/>
      <c r="J84" s="82"/>
      <c r="K84" s="101">
        <f t="shared" si="13"/>
        <v>0</v>
      </c>
      <c r="L84" s="100"/>
      <c r="M84" s="79" t="str">
        <f t="shared" si="10"/>
        <v/>
      </c>
      <c r="N84" s="102" t="str">
        <f t="shared" si="11"/>
        <v/>
      </c>
      <c r="O84" s="973"/>
      <c r="P84" s="974"/>
      <c r="Q84" s="975"/>
      <c r="R84" s="251"/>
    </row>
    <row r="85" spans="2:18">
      <c r="B85" s="220"/>
      <c r="C85" s="75" t="s">
        <v>196</v>
      </c>
      <c r="D85" s="76" t="s">
        <v>205</v>
      </c>
      <c r="E85" s="93" t="s">
        <v>178</v>
      </c>
      <c r="F85" s="95">
        <f>F78</f>
        <v>4.4092857142857138</v>
      </c>
      <c r="G85" s="83">
        <v>24</v>
      </c>
      <c r="H85" s="98">
        <f t="shared" si="14"/>
        <v>105.82285714285713</v>
      </c>
      <c r="I85" s="96"/>
      <c r="J85" s="82"/>
      <c r="K85" s="101">
        <f t="shared" si="13"/>
        <v>0</v>
      </c>
      <c r="L85" s="100"/>
      <c r="M85" s="79" t="str">
        <f t="shared" si="10"/>
        <v/>
      </c>
      <c r="N85" s="102" t="str">
        <f t="shared" si="11"/>
        <v/>
      </c>
      <c r="O85" s="973"/>
      <c r="P85" s="974"/>
      <c r="Q85" s="975"/>
      <c r="R85" s="251"/>
    </row>
    <row r="86" spans="2:18">
      <c r="B86" s="220"/>
      <c r="C86" s="75" t="s">
        <v>196</v>
      </c>
      <c r="D86" s="76" t="s">
        <v>206</v>
      </c>
      <c r="E86" s="93" t="s">
        <v>178</v>
      </c>
      <c r="F86" s="95">
        <f>DADOS!F12*0.1</f>
        <v>24.692</v>
      </c>
      <c r="G86" s="83">
        <v>6</v>
      </c>
      <c r="H86" s="98">
        <f t="shared" si="14"/>
        <v>148.15199999999999</v>
      </c>
      <c r="I86" s="96"/>
      <c r="J86" s="82"/>
      <c r="K86" s="101">
        <f t="shared" si="13"/>
        <v>0</v>
      </c>
      <c r="L86" s="100"/>
      <c r="M86" s="79" t="str">
        <f t="shared" si="10"/>
        <v/>
      </c>
      <c r="N86" s="102" t="str">
        <f t="shared" si="11"/>
        <v/>
      </c>
      <c r="O86" s="973"/>
      <c r="P86" s="974"/>
      <c r="Q86" s="975"/>
      <c r="R86" s="251"/>
    </row>
    <row r="87" spans="2:18">
      <c r="B87" s="220"/>
      <c r="C87" s="75" t="s">
        <v>196</v>
      </c>
      <c r="D87" s="76" t="s">
        <v>207</v>
      </c>
      <c r="E87" s="93" t="s">
        <v>178</v>
      </c>
      <c r="F87" s="95">
        <f>DADOS!F12*0.3</f>
        <v>74.075999999999993</v>
      </c>
      <c r="G87" s="83">
        <v>6</v>
      </c>
      <c r="H87" s="98">
        <f t="shared" si="14"/>
        <v>444.45599999999996</v>
      </c>
      <c r="I87" s="96"/>
      <c r="J87" s="82"/>
      <c r="K87" s="101">
        <f t="shared" si="13"/>
        <v>0</v>
      </c>
      <c r="L87" s="100"/>
      <c r="M87" s="79" t="str">
        <f t="shared" si="10"/>
        <v/>
      </c>
      <c r="N87" s="102" t="str">
        <f t="shared" si="11"/>
        <v/>
      </c>
      <c r="O87" s="973"/>
      <c r="P87" s="974"/>
      <c r="Q87" s="975"/>
      <c r="R87" s="251"/>
    </row>
    <row r="88" spans="2:18">
      <c r="B88" s="220"/>
      <c r="C88" s="75" t="s">
        <v>196</v>
      </c>
      <c r="D88" s="76"/>
      <c r="E88" s="93"/>
      <c r="F88" s="95"/>
      <c r="G88" s="83"/>
      <c r="H88" s="98">
        <f t="shared" si="14"/>
        <v>0</v>
      </c>
      <c r="I88" s="96"/>
      <c r="J88" s="82"/>
      <c r="K88" s="101">
        <f t="shared" si="13"/>
        <v>0</v>
      </c>
      <c r="L88" s="100"/>
      <c r="M88" s="79" t="str">
        <f t="shared" si="10"/>
        <v/>
      </c>
      <c r="N88" s="102" t="str">
        <f t="shared" si="11"/>
        <v/>
      </c>
      <c r="O88" s="973"/>
      <c r="P88" s="974"/>
      <c r="Q88" s="975"/>
      <c r="R88" s="251"/>
    </row>
    <row r="89" spans="2:18">
      <c r="B89" s="220"/>
      <c r="C89" s="75" t="s">
        <v>196</v>
      </c>
      <c r="D89" s="76"/>
      <c r="E89" s="93"/>
      <c r="F89" s="95"/>
      <c r="G89" s="83"/>
      <c r="H89" s="98">
        <f t="shared" si="14"/>
        <v>0</v>
      </c>
      <c r="I89" s="96"/>
      <c r="J89" s="82"/>
      <c r="K89" s="101">
        <f t="shared" si="13"/>
        <v>0</v>
      </c>
      <c r="L89" s="100"/>
      <c r="M89" s="79" t="str">
        <f t="shared" si="10"/>
        <v/>
      </c>
      <c r="N89" s="102" t="str">
        <f t="shared" si="11"/>
        <v/>
      </c>
      <c r="O89" s="973"/>
      <c r="P89" s="974"/>
      <c r="Q89" s="975"/>
      <c r="R89" s="251"/>
    </row>
    <row r="90" spans="2:18" ht="15.75" thickBot="1">
      <c r="B90" s="220"/>
      <c r="C90" s="103" t="s">
        <v>196</v>
      </c>
      <c r="D90" s="104"/>
      <c r="E90" s="105"/>
      <c r="F90" s="136"/>
      <c r="G90" s="137"/>
      <c r="H90" s="138">
        <f t="shared" si="14"/>
        <v>0</v>
      </c>
      <c r="I90" s="139"/>
      <c r="J90" s="140"/>
      <c r="K90" s="141">
        <f t="shared" si="13"/>
        <v>0</v>
      </c>
      <c r="L90" s="153"/>
      <c r="M90" s="113" t="str">
        <f t="shared" si="10"/>
        <v/>
      </c>
      <c r="N90" s="114" t="str">
        <f t="shared" si="11"/>
        <v/>
      </c>
      <c r="O90" s="976"/>
      <c r="P90" s="977"/>
      <c r="Q90" s="978"/>
      <c r="R90" s="251"/>
    </row>
    <row r="91" spans="2:18" ht="15.75" thickBot="1">
      <c r="B91" s="220"/>
      <c r="C91" s="127" t="s">
        <v>128</v>
      </c>
      <c r="D91" s="128"/>
      <c r="E91" s="129"/>
      <c r="F91" s="130"/>
      <c r="G91" s="131"/>
      <c r="H91" s="132">
        <f>SUM(H78:H90)</f>
        <v>14071.997271708684</v>
      </c>
      <c r="I91" s="133"/>
      <c r="J91" s="131"/>
      <c r="K91" s="132">
        <f>SUM(K78:K90)</f>
        <v>0</v>
      </c>
      <c r="L91" s="133"/>
      <c r="M91" s="131">
        <f>SUM(M78:M90)</f>
        <v>0</v>
      </c>
      <c r="N91" s="135" t="str">
        <f>IF(M91&gt;0,"Poupou",IF(M91=0,"Planejado","Estourou"))</f>
        <v>Planejado</v>
      </c>
      <c r="O91" s="949"/>
      <c r="P91" s="950"/>
      <c r="Q91" s="951"/>
      <c r="R91" s="251"/>
    </row>
    <row r="92" spans="2:18">
      <c r="B92" s="220"/>
      <c r="C92" s="115" t="s">
        <v>290</v>
      </c>
      <c r="D92" s="116" t="s">
        <v>208</v>
      </c>
      <c r="E92" s="117" t="s">
        <v>178</v>
      </c>
      <c r="F92" s="118">
        <f>DADOS!F13+DADOS!F14</f>
        <v>5</v>
      </c>
      <c r="G92" s="119">
        <v>320</v>
      </c>
      <c r="H92" s="120">
        <f t="shared" si="14"/>
        <v>1600</v>
      </c>
      <c r="I92" s="154"/>
      <c r="J92" s="122"/>
      <c r="K92" s="123">
        <f t="shared" si="13"/>
        <v>0</v>
      </c>
      <c r="L92" s="143"/>
      <c r="M92" s="125" t="str">
        <f t="shared" si="10"/>
        <v/>
      </c>
      <c r="N92" s="126" t="str">
        <f t="shared" si="11"/>
        <v/>
      </c>
      <c r="O92" s="979"/>
      <c r="P92" s="980"/>
      <c r="Q92" s="981"/>
      <c r="R92" s="251"/>
    </row>
    <row r="93" spans="2:18">
      <c r="B93" s="220"/>
      <c r="C93" s="115" t="s">
        <v>290</v>
      </c>
      <c r="D93" s="76" t="s">
        <v>209</v>
      </c>
      <c r="E93" s="93" t="s">
        <v>178</v>
      </c>
      <c r="F93" s="95">
        <v>6</v>
      </c>
      <c r="G93" s="83">
        <v>170</v>
      </c>
      <c r="H93" s="98">
        <f t="shared" si="14"/>
        <v>1020</v>
      </c>
      <c r="I93" s="97"/>
      <c r="J93" s="82"/>
      <c r="K93" s="101">
        <f t="shared" si="13"/>
        <v>0</v>
      </c>
      <c r="L93" s="100"/>
      <c r="M93" s="79" t="str">
        <f t="shared" si="10"/>
        <v/>
      </c>
      <c r="N93" s="102" t="str">
        <f t="shared" si="11"/>
        <v/>
      </c>
      <c r="O93" s="963" t="s">
        <v>1123</v>
      </c>
      <c r="P93" s="1011"/>
      <c r="Q93" s="1012"/>
      <c r="R93" s="251"/>
    </row>
    <row r="94" spans="2:18">
      <c r="B94" s="220"/>
      <c r="C94" s="115" t="s">
        <v>290</v>
      </c>
      <c r="D94" s="76" t="s">
        <v>210</v>
      </c>
      <c r="E94" s="93" t="s">
        <v>178</v>
      </c>
      <c r="F94" s="95">
        <f>DADOS!F15</f>
        <v>2</v>
      </c>
      <c r="G94" s="83">
        <v>530</v>
      </c>
      <c r="H94" s="98">
        <f t="shared" si="14"/>
        <v>1060</v>
      </c>
      <c r="I94" s="97"/>
      <c r="J94" s="82"/>
      <c r="K94" s="101">
        <f t="shared" si="13"/>
        <v>0</v>
      </c>
      <c r="L94" s="100"/>
      <c r="M94" s="79" t="str">
        <f t="shared" si="10"/>
        <v/>
      </c>
      <c r="N94" s="102" t="str">
        <f t="shared" si="11"/>
        <v/>
      </c>
      <c r="O94" s="961" t="s">
        <v>340</v>
      </c>
      <c r="P94" s="962"/>
      <c r="Q94" s="963"/>
      <c r="R94" s="251"/>
    </row>
    <row r="95" spans="2:18">
      <c r="B95" s="220"/>
      <c r="C95" s="115" t="s">
        <v>290</v>
      </c>
      <c r="D95" s="76" t="s">
        <v>211</v>
      </c>
      <c r="E95" s="93" t="s">
        <v>178</v>
      </c>
      <c r="F95" s="95">
        <f>DADOS!F16</f>
        <v>1</v>
      </c>
      <c r="G95" s="83">
        <v>260</v>
      </c>
      <c r="H95" s="98">
        <f t="shared" si="14"/>
        <v>260</v>
      </c>
      <c r="I95" s="97"/>
      <c r="J95" s="82"/>
      <c r="K95" s="101">
        <f t="shared" si="13"/>
        <v>0</v>
      </c>
      <c r="L95" s="100"/>
      <c r="M95" s="79" t="str">
        <f t="shared" si="10"/>
        <v/>
      </c>
      <c r="N95" s="102" t="str">
        <f t="shared" si="11"/>
        <v/>
      </c>
      <c r="O95" s="973"/>
      <c r="P95" s="974"/>
      <c r="Q95" s="975"/>
      <c r="R95" s="251"/>
    </row>
    <row r="96" spans="2:18">
      <c r="B96" s="220"/>
      <c r="C96" s="115" t="s">
        <v>290</v>
      </c>
      <c r="D96" s="76" t="s">
        <v>212</v>
      </c>
      <c r="E96" s="93" t="s">
        <v>178</v>
      </c>
      <c r="F96" s="95">
        <v>5</v>
      </c>
      <c r="G96" s="83">
        <v>240</v>
      </c>
      <c r="H96" s="98">
        <f t="shared" si="14"/>
        <v>1200</v>
      </c>
      <c r="I96" s="97"/>
      <c r="J96" s="82"/>
      <c r="K96" s="101">
        <f t="shared" si="13"/>
        <v>0</v>
      </c>
      <c r="L96" s="100"/>
      <c r="M96" s="79" t="str">
        <f t="shared" si="10"/>
        <v/>
      </c>
      <c r="N96" s="102" t="str">
        <f t="shared" si="11"/>
        <v/>
      </c>
      <c r="O96" s="955"/>
      <c r="P96" s="956"/>
      <c r="Q96" s="957"/>
      <c r="R96" s="251"/>
    </row>
    <row r="97" spans="2:18">
      <c r="B97" s="220"/>
      <c r="C97" s="115" t="s">
        <v>290</v>
      </c>
      <c r="D97" s="76"/>
      <c r="E97" s="93"/>
      <c r="F97" s="95"/>
      <c r="G97" s="83"/>
      <c r="H97" s="98">
        <f t="shared" si="14"/>
        <v>0</v>
      </c>
      <c r="I97" s="97"/>
      <c r="J97" s="82"/>
      <c r="K97" s="101">
        <f t="shared" si="13"/>
        <v>0</v>
      </c>
      <c r="L97" s="100"/>
      <c r="M97" s="79" t="str">
        <f t="shared" si="10"/>
        <v/>
      </c>
      <c r="N97" s="102" t="str">
        <f t="shared" si="11"/>
        <v/>
      </c>
      <c r="O97" s="973"/>
      <c r="P97" s="974"/>
      <c r="Q97" s="975"/>
      <c r="R97" s="251"/>
    </row>
    <row r="98" spans="2:18">
      <c r="B98" s="220"/>
      <c r="C98" s="115" t="s">
        <v>290</v>
      </c>
      <c r="D98" s="76"/>
      <c r="E98" s="93"/>
      <c r="F98" s="95"/>
      <c r="G98" s="83"/>
      <c r="H98" s="98">
        <f t="shared" si="14"/>
        <v>0</v>
      </c>
      <c r="I98" s="97"/>
      <c r="J98" s="82"/>
      <c r="K98" s="101">
        <f t="shared" si="13"/>
        <v>0</v>
      </c>
      <c r="L98" s="100"/>
      <c r="M98" s="79" t="str">
        <f t="shared" si="10"/>
        <v/>
      </c>
      <c r="N98" s="102" t="str">
        <f t="shared" si="11"/>
        <v/>
      </c>
      <c r="O98" s="973"/>
      <c r="P98" s="974"/>
      <c r="Q98" s="975"/>
      <c r="R98" s="251"/>
    </row>
    <row r="99" spans="2:18" ht="15.75" thickBot="1">
      <c r="B99" s="220"/>
      <c r="C99" s="103" t="s">
        <v>290</v>
      </c>
      <c r="D99" s="104"/>
      <c r="E99" s="105"/>
      <c r="F99" s="136"/>
      <c r="G99" s="137"/>
      <c r="H99" s="138">
        <f t="shared" si="14"/>
        <v>0</v>
      </c>
      <c r="I99" s="155"/>
      <c r="J99" s="140"/>
      <c r="K99" s="141">
        <f t="shared" si="13"/>
        <v>0</v>
      </c>
      <c r="L99" s="153"/>
      <c r="M99" s="113" t="str">
        <f t="shared" si="10"/>
        <v/>
      </c>
      <c r="N99" s="114" t="str">
        <f t="shared" si="11"/>
        <v/>
      </c>
      <c r="O99" s="976"/>
      <c r="P99" s="977"/>
      <c r="Q99" s="978"/>
      <c r="R99" s="251"/>
    </row>
    <row r="100" spans="2:18" ht="15.75" thickBot="1">
      <c r="B100" s="220"/>
      <c r="C100" s="156" t="s">
        <v>128</v>
      </c>
      <c r="D100" s="128"/>
      <c r="E100" s="129"/>
      <c r="F100" s="130"/>
      <c r="G100" s="131"/>
      <c r="H100" s="132">
        <f>SUM(H92:H99)</f>
        <v>5140</v>
      </c>
      <c r="I100" s="133"/>
      <c r="J100" s="131"/>
      <c r="K100" s="132">
        <f>SUM(K92:K99)</f>
        <v>0</v>
      </c>
      <c r="L100" s="133"/>
      <c r="M100" s="131">
        <f>SUM(M92:M99)</f>
        <v>0</v>
      </c>
      <c r="N100" s="135" t="str">
        <f>IF(M100&gt;0,"Poupou",IF(M100=0,"Planejado","Estourou"))</f>
        <v>Planejado</v>
      </c>
      <c r="O100" s="949"/>
      <c r="P100" s="950"/>
      <c r="Q100" s="951"/>
      <c r="R100" s="251"/>
    </row>
    <row r="101" spans="2:18">
      <c r="B101" s="220"/>
      <c r="C101" s="222" t="s">
        <v>261</v>
      </c>
      <c r="D101" s="1008" t="s">
        <v>293</v>
      </c>
      <c r="E101" s="1009"/>
      <c r="F101" s="1009"/>
      <c r="G101" s="1009"/>
      <c r="H101" s="1009"/>
      <c r="I101" s="1009"/>
      <c r="J101" s="1009"/>
      <c r="K101" s="1009"/>
      <c r="L101" s="1009"/>
      <c r="M101" s="1009"/>
      <c r="N101" s="1009"/>
      <c r="O101" s="1009"/>
      <c r="P101" s="1009"/>
      <c r="Q101" s="1010"/>
      <c r="R101" s="251"/>
    </row>
    <row r="102" spans="2:18">
      <c r="B102" s="248"/>
      <c r="C102" s="212" t="s">
        <v>261</v>
      </c>
      <c r="D102" s="221" t="s">
        <v>282</v>
      </c>
      <c r="E102" s="93" t="s">
        <v>140</v>
      </c>
      <c r="F102" s="223">
        <v>1200</v>
      </c>
      <c r="G102" s="230">
        <v>3</v>
      </c>
      <c r="H102" s="98">
        <f t="shared" si="14"/>
        <v>3600</v>
      </c>
      <c r="I102" s="225"/>
      <c r="J102" s="232"/>
      <c r="K102" s="101">
        <f t="shared" si="13"/>
        <v>0</v>
      </c>
      <c r="L102" s="100"/>
      <c r="M102" s="79" t="str">
        <f t="shared" si="10"/>
        <v/>
      </c>
      <c r="N102" s="102" t="str">
        <f t="shared" si="11"/>
        <v/>
      </c>
      <c r="O102" s="955"/>
      <c r="P102" s="956"/>
      <c r="Q102" s="957"/>
      <c r="R102" s="251"/>
    </row>
    <row r="103" spans="2:18">
      <c r="B103" s="248"/>
      <c r="C103" s="75" t="s">
        <v>261</v>
      </c>
      <c r="D103" s="221" t="s">
        <v>262</v>
      </c>
      <c r="E103" s="93" t="s">
        <v>178</v>
      </c>
      <c r="F103" s="228">
        <v>1</v>
      </c>
      <c r="G103" s="231">
        <v>110</v>
      </c>
      <c r="H103" s="98">
        <f t="shared" si="14"/>
        <v>110</v>
      </c>
      <c r="I103" s="225"/>
      <c r="J103" s="232"/>
      <c r="K103" s="101">
        <f t="shared" si="13"/>
        <v>0</v>
      </c>
      <c r="L103" s="100"/>
      <c r="M103" s="79" t="str">
        <f t="shared" si="10"/>
        <v/>
      </c>
      <c r="N103" s="102" t="str">
        <f t="shared" si="11"/>
        <v/>
      </c>
      <c r="O103" s="955"/>
      <c r="P103" s="956"/>
      <c r="Q103" s="957"/>
      <c r="R103" s="251"/>
    </row>
    <row r="104" spans="2:18">
      <c r="B104" s="220"/>
      <c r="C104" s="75" t="s">
        <v>261</v>
      </c>
      <c r="D104" s="89" t="s">
        <v>1077</v>
      </c>
      <c r="E104" s="93" t="s">
        <v>178</v>
      </c>
      <c r="F104" s="227">
        <v>1</v>
      </c>
      <c r="G104" s="230">
        <v>110</v>
      </c>
      <c r="H104" s="98">
        <f t="shared" si="14"/>
        <v>110</v>
      </c>
      <c r="I104" s="226"/>
      <c r="J104" s="233"/>
      <c r="K104" s="101">
        <f t="shared" si="13"/>
        <v>0</v>
      </c>
      <c r="L104" s="100"/>
      <c r="M104" s="79" t="str">
        <f t="shared" si="10"/>
        <v/>
      </c>
      <c r="N104" s="102" t="str">
        <f t="shared" si="11"/>
        <v/>
      </c>
      <c r="O104" s="955"/>
      <c r="P104" s="956"/>
      <c r="Q104" s="957"/>
      <c r="R104" s="251"/>
    </row>
    <row r="105" spans="2:18">
      <c r="B105" s="220"/>
      <c r="C105" s="75" t="s">
        <v>261</v>
      </c>
      <c r="D105" s="89" t="s">
        <v>263</v>
      </c>
      <c r="E105" s="93" t="s">
        <v>178</v>
      </c>
      <c r="F105" s="227">
        <v>5</v>
      </c>
      <c r="G105" s="230">
        <v>15</v>
      </c>
      <c r="H105" s="98">
        <f t="shared" si="14"/>
        <v>75</v>
      </c>
      <c r="I105" s="226"/>
      <c r="J105" s="233"/>
      <c r="K105" s="101">
        <f t="shared" si="13"/>
        <v>0</v>
      </c>
      <c r="L105" s="100"/>
      <c r="M105" s="79" t="str">
        <f t="shared" si="10"/>
        <v/>
      </c>
      <c r="N105" s="102" t="str">
        <f t="shared" si="11"/>
        <v/>
      </c>
      <c r="O105" s="955"/>
      <c r="P105" s="956"/>
      <c r="Q105" s="957"/>
      <c r="R105" s="251"/>
    </row>
    <row r="106" spans="2:18">
      <c r="B106" s="220"/>
      <c r="C106" s="75" t="s">
        <v>261</v>
      </c>
      <c r="D106" s="89" t="s">
        <v>264</v>
      </c>
      <c r="E106" s="93" t="s">
        <v>178</v>
      </c>
      <c r="F106" s="227">
        <v>14</v>
      </c>
      <c r="G106" s="230">
        <v>18</v>
      </c>
      <c r="H106" s="98">
        <f t="shared" si="14"/>
        <v>252</v>
      </c>
      <c r="I106" s="226"/>
      <c r="J106" s="233"/>
      <c r="K106" s="101">
        <f t="shared" si="13"/>
        <v>0</v>
      </c>
      <c r="L106" s="100"/>
      <c r="M106" s="79" t="str">
        <f t="shared" ref="M106:M141" si="15">IF(L106="S",H106-K106,"")</f>
        <v/>
      </c>
      <c r="N106" s="102" t="str">
        <f t="shared" ref="N106:N141" si="16">IF(L106="S",IF(M106&gt;0,"Poupou",IF(M106=0,"Planejado","Estourou")),"")</f>
        <v/>
      </c>
      <c r="O106" s="955"/>
      <c r="P106" s="956"/>
      <c r="Q106" s="957"/>
      <c r="R106" s="251"/>
    </row>
    <row r="107" spans="2:18">
      <c r="B107" s="220"/>
      <c r="C107" s="75" t="s">
        <v>261</v>
      </c>
      <c r="D107" s="89" t="s">
        <v>265</v>
      </c>
      <c r="E107" s="93" t="s">
        <v>178</v>
      </c>
      <c r="F107" s="227">
        <v>3</v>
      </c>
      <c r="G107" s="230">
        <v>20</v>
      </c>
      <c r="H107" s="98">
        <f t="shared" si="14"/>
        <v>60</v>
      </c>
      <c r="I107" s="226"/>
      <c r="J107" s="233"/>
      <c r="K107" s="101">
        <f t="shared" si="13"/>
        <v>0</v>
      </c>
      <c r="L107" s="100"/>
      <c r="M107" s="79" t="str">
        <f t="shared" si="15"/>
        <v/>
      </c>
      <c r="N107" s="102" t="str">
        <f t="shared" si="16"/>
        <v/>
      </c>
      <c r="O107" s="955"/>
      <c r="P107" s="956"/>
      <c r="Q107" s="957"/>
      <c r="R107" s="251"/>
    </row>
    <row r="108" spans="2:18">
      <c r="B108" s="220"/>
      <c r="C108" s="75" t="s">
        <v>261</v>
      </c>
      <c r="D108" s="89" t="s">
        <v>266</v>
      </c>
      <c r="E108" s="93" t="s">
        <v>178</v>
      </c>
      <c r="F108" s="227"/>
      <c r="G108" s="230">
        <v>29</v>
      </c>
      <c r="H108" s="98">
        <f t="shared" si="14"/>
        <v>0</v>
      </c>
      <c r="I108" s="226"/>
      <c r="J108" s="233"/>
      <c r="K108" s="101">
        <f t="shared" si="13"/>
        <v>0</v>
      </c>
      <c r="L108" s="100"/>
      <c r="M108" s="79" t="str">
        <f t="shared" si="15"/>
        <v/>
      </c>
      <c r="N108" s="102" t="str">
        <f t="shared" si="16"/>
        <v/>
      </c>
      <c r="O108" s="955"/>
      <c r="P108" s="956"/>
      <c r="Q108" s="957"/>
      <c r="R108" s="251"/>
    </row>
    <row r="109" spans="2:18">
      <c r="B109" s="220"/>
      <c r="C109" s="75" t="s">
        <v>261</v>
      </c>
      <c r="D109" s="89" t="s">
        <v>303</v>
      </c>
      <c r="E109" s="93" t="s">
        <v>178</v>
      </c>
      <c r="F109" s="227"/>
      <c r="G109" s="230">
        <v>34</v>
      </c>
      <c r="H109" s="98">
        <f t="shared" si="14"/>
        <v>0</v>
      </c>
      <c r="I109" s="226"/>
      <c r="J109" s="233"/>
      <c r="K109" s="101">
        <f t="shared" si="13"/>
        <v>0</v>
      </c>
      <c r="L109" s="100"/>
      <c r="M109" s="79" t="str">
        <f t="shared" si="15"/>
        <v/>
      </c>
      <c r="N109" s="102" t="str">
        <f t="shared" si="16"/>
        <v/>
      </c>
      <c r="O109" s="955"/>
      <c r="P109" s="956"/>
      <c r="Q109" s="957"/>
      <c r="R109" s="251"/>
    </row>
    <row r="110" spans="2:18">
      <c r="B110" s="220"/>
      <c r="C110" s="75" t="s">
        <v>261</v>
      </c>
      <c r="D110" s="89" t="s">
        <v>267</v>
      </c>
      <c r="E110" s="93" t="s">
        <v>178</v>
      </c>
      <c r="F110" s="227">
        <v>5</v>
      </c>
      <c r="G110" s="230">
        <v>41</v>
      </c>
      <c r="H110" s="98">
        <f t="shared" si="14"/>
        <v>205</v>
      </c>
      <c r="I110" s="226"/>
      <c r="J110" s="233"/>
      <c r="K110" s="101">
        <f t="shared" ref="K110:K141" si="17">I110*J110</f>
        <v>0</v>
      </c>
      <c r="L110" s="100"/>
      <c r="M110" s="79" t="str">
        <f t="shared" si="15"/>
        <v/>
      </c>
      <c r="N110" s="102" t="str">
        <f t="shared" si="16"/>
        <v/>
      </c>
      <c r="O110" s="946"/>
      <c r="P110" s="947"/>
      <c r="Q110" s="948"/>
      <c r="R110" s="251"/>
    </row>
    <row r="111" spans="2:18">
      <c r="B111" s="220"/>
      <c r="C111" s="75" t="s">
        <v>261</v>
      </c>
      <c r="D111" s="76" t="s">
        <v>268</v>
      </c>
      <c r="E111" s="93" t="s">
        <v>178</v>
      </c>
      <c r="F111" s="227"/>
      <c r="G111" s="83">
        <v>55</v>
      </c>
      <c r="H111" s="98">
        <f t="shared" si="14"/>
        <v>0</v>
      </c>
      <c r="I111" s="96"/>
      <c r="J111" s="82"/>
      <c r="K111" s="101">
        <f t="shared" si="17"/>
        <v>0</v>
      </c>
      <c r="L111" s="100"/>
      <c r="M111" s="79" t="str">
        <f t="shared" si="15"/>
        <v/>
      </c>
      <c r="N111" s="102" t="str">
        <f t="shared" si="16"/>
        <v/>
      </c>
      <c r="O111" s="946"/>
      <c r="P111" s="947"/>
      <c r="Q111" s="948"/>
      <c r="R111" s="251"/>
    </row>
    <row r="112" spans="2:18">
      <c r="B112" s="220"/>
      <c r="C112" s="75" t="s">
        <v>261</v>
      </c>
      <c r="D112" s="76" t="s">
        <v>272</v>
      </c>
      <c r="E112" s="93" t="s">
        <v>140</v>
      </c>
      <c r="F112" s="227">
        <v>75</v>
      </c>
      <c r="G112" s="83">
        <v>20</v>
      </c>
      <c r="H112" s="98">
        <f t="shared" si="14"/>
        <v>1500</v>
      </c>
      <c r="I112" s="96"/>
      <c r="J112" s="82"/>
      <c r="K112" s="101">
        <f t="shared" si="17"/>
        <v>0</v>
      </c>
      <c r="L112" s="100"/>
      <c r="M112" s="79" t="str">
        <f t="shared" si="15"/>
        <v/>
      </c>
      <c r="N112" s="102" t="str">
        <f t="shared" si="16"/>
        <v/>
      </c>
      <c r="O112" s="946"/>
      <c r="P112" s="947"/>
      <c r="Q112" s="948"/>
      <c r="R112" s="251"/>
    </row>
    <row r="113" spans="2:18">
      <c r="B113" s="220"/>
      <c r="C113" s="75" t="s">
        <v>261</v>
      </c>
      <c r="D113" s="76" t="s">
        <v>273</v>
      </c>
      <c r="E113" s="93" t="s">
        <v>140</v>
      </c>
      <c r="F113" s="227">
        <v>125</v>
      </c>
      <c r="G113" s="83">
        <v>26</v>
      </c>
      <c r="H113" s="98">
        <f t="shared" si="14"/>
        <v>3250</v>
      </c>
      <c r="I113" s="96"/>
      <c r="J113" s="82"/>
      <c r="K113" s="101">
        <f t="shared" si="17"/>
        <v>0</v>
      </c>
      <c r="L113" s="100"/>
      <c r="M113" s="79" t="str">
        <f t="shared" si="15"/>
        <v/>
      </c>
      <c r="N113" s="102" t="str">
        <f t="shared" si="16"/>
        <v/>
      </c>
      <c r="O113" s="946"/>
      <c r="P113" s="947"/>
      <c r="Q113" s="948"/>
      <c r="R113" s="251"/>
    </row>
    <row r="114" spans="2:18">
      <c r="B114" s="220"/>
      <c r="C114" s="75" t="s">
        <v>261</v>
      </c>
      <c r="D114" s="76" t="s">
        <v>274</v>
      </c>
      <c r="E114" s="93" t="s">
        <v>140</v>
      </c>
      <c r="F114" s="227">
        <v>1800</v>
      </c>
      <c r="G114" s="83">
        <v>2</v>
      </c>
      <c r="H114" s="98">
        <f t="shared" si="14"/>
        <v>3600</v>
      </c>
      <c r="I114" s="96"/>
      <c r="J114" s="82"/>
      <c r="K114" s="101">
        <f t="shared" si="17"/>
        <v>0</v>
      </c>
      <c r="L114" s="100"/>
      <c r="M114" s="79" t="str">
        <f t="shared" si="15"/>
        <v/>
      </c>
      <c r="N114" s="102" t="str">
        <f t="shared" si="16"/>
        <v/>
      </c>
      <c r="O114" s="946"/>
      <c r="P114" s="947"/>
      <c r="Q114" s="948"/>
      <c r="R114" s="251"/>
    </row>
    <row r="115" spans="2:18">
      <c r="B115" s="220"/>
      <c r="C115" s="75" t="s">
        <v>261</v>
      </c>
      <c r="D115" s="76" t="s">
        <v>275</v>
      </c>
      <c r="E115" s="93" t="s">
        <v>140</v>
      </c>
      <c r="F115" s="227">
        <v>2000</v>
      </c>
      <c r="G115" s="83">
        <v>2</v>
      </c>
      <c r="H115" s="98">
        <f t="shared" si="14"/>
        <v>4000</v>
      </c>
      <c r="I115" s="224"/>
      <c r="J115" s="82"/>
      <c r="K115" s="101">
        <f t="shared" si="17"/>
        <v>0</v>
      </c>
      <c r="L115" s="100"/>
      <c r="M115" s="79" t="str">
        <f t="shared" si="15"/>
        <v/>
      </c>
      <c r="N115" s="102" t="str">
        <f t="shared" si="16"/>
        <v/>
      </c>
      <c r="O115" s="946"/>
      <c r="P115" s="947"/>
      <c r="Q115" s="948"/>
      <c r="R115" s="251"/>
    </row>
    <row r="116" spans="2:18">
      <c r="B116" s="220"/>
      <c r="C116" s="75" t="s">
        <v>261</v>
      </c>
      <c r="D116" s="76" t="s">
        <v>276</v>
      </c>
      <c r="E116" s="93" t="s">
        <v>140</v>
      </c>
      <c r="F116" s="227">
        <v>400</v>
      </c>
      <c r="G116" s="83">
        <v>4.5999999999999996</v>
      </c>
      <c r="H116" s="98">
        <f t="shared" si="14"/>
        <v>1839.9999999999998</v>
      </c>
      <c r="I116" s="121"/>
      <c r="J116" s="122"/>
      <c r="K116" s="101">
        <f t="shared" si="17"/>
        <v>0</v>
      </c>
      <c r="L116" s="100"/>
      <c r="M116" s="79" t="str">
        <f t="shared" si="15"/>
        <v/>
      </c>
      <c r="N116" s="102" t="str">
        <f t="shared" si="16"/>
        <v/>
      </c>
      <c r="O116" s="946"/>
      <c r="P116" s="947"/>
      <c r="Q116" s="948"/>
      <c r="R116" s="251"/>
    </row>
    <row r="117" spans="2:18">
      <c r="B117" s="220"/>
      <c r="C117" s="75" t="s">
        <v>261</v>
      </c>
      <c r="D117" s="76" t="s">
        <v>277</v>
      </c>
      <c r="E117" s="93" t="s">
        <v>140</v>
      </c>
      <c r="F117" s="227"/>
      <c r="G117" s="83">
        <v>5</v>
      </c>
      <c r="H117" s="98">
        <f t="shared" si="14"/>
        <v>0</v>
      </c>
      <c r="I117" s="96"/>
      <c r="J117" s="82"/>
      <c r="K117" s="101">
        <f t="shared" si="17"/>
        <v>0</v>
      </c>
      <c r="L117" s="100"/>
      <c r="M117" s="79" t="str">
        <f t="shared" si="15"/>
        <v/>
      </c>
      <c r="N117" s="102" t="str">
        <f t="shared" si="16"/>
        <v/>
      </c>
      <c r="O117" s="946"/>
      <c r="P117" s="947"/>
      <c r="Q117" s="948"/>
      <c r="R117" s="251"/>
    </row>
    <row r="118" spans="2:18">
      <c r="B118" s="220"/>
      <c r="C118" s="75" t="s">
        <v>261</v>
      </c>
      <c r="D118" s="76" t="s">
        <v>278</v>
      </c>
      <c r="E118" s="93" t="s">
        <v>140</v>
      </c>
      <c r="F118" s="227">
        <v>1700</v>
      </c>
      <c r="G118" s="83">
        <v>15</v>
      </c>
      <c r="H118" s="98">
        <f t="shared" si="14"/>
        <v>25500</v>
      </c>
      <c r="I118" s="96"/>
      <c r="J118" s="82"/>
      <c r="K118" s="101">
        <f t="shared" si="17"/>
        <v>0</v>
      </c>
      <c r="L118" s="100"/>
      <c r="M118" s="79" t="str">
        <f t="shared" si="15"/>
        <v/>
      </c>
      <c r="N118" s="102" t="str">
        <f t="shared" si="16"/>
        <v/>
      </c>
      <c r="O118" s="946"/>
      <c r="P118" s="947"/>
      <c r="Q118" s="948"/>
      <c r="R118" s="251"/>
    </row>
    <row r="119" spans="2:18">
      <c r="B119" s="220"/>
      <c r="C119" s="75" t="s">
        <v>261</v>
      </c>
      <c r="D119" s="76" t="s">
        <v>1078</v>
      </c>
      <c r="E119" s="93" t="s">
        <v>284</v>
      </c>
      <c r="F119" s="227">
        <v>40</v>
      </c>
      <c r="G119" s="83">
        <v>17</v>
      </c>
      <c r="H119" s="98">
        <f t="shared" si="14"/>
        <v>680</v>
      </c>
      <c r="I119" s="96"/>
      <c r="J119" s="82"/>
      <c r="K119" s="101">
        <f t="shared" si="17"/>
        <v>0</v>
      </c>
      <c r="L119" s="100"/>
      <c r="M119" s="79" t="str">
        <f t="shared" si="15"/>
        <v/>
      </c>
      <c r="N119" s="102" t="str">
        <f t="shared" si="16"/>
        <v/>
      </c>
      <c r="O119" s="946"/>
      <c r="P119" s="947"/>
      <c r="Q119" s="948"/>
      <c r="R119" s="251"/>
    </row>
    <row r="120" spans="2:18">
      <c r="B120" s="220"/>
      <c r="C120" s="75" t="s">
        <v>261</v>
      </c>
      <c r="D120" s="76" t="s">
        <v>1079</v>
      </c>
      <c r="E120" s="93" t="s">
        <v>284</v>
      </c>
      <c r="F120" s="227">
        <v>12</v>
      </c>
      <c r="G120" s="83">
        <v>19</v>
      </c>
      <c r="H120" s="98">
        <f t="shared" si="14"/>
        <v>228</v>
      </c>
      <c r="I120" s="96"/>
      <c r="J120" s="82"/>
      <c r="K120" s="101">
        <f t="shared" si="17"/>
        <v>0</v>
      </c>
      <c r="L120" s="100"/>
      <c r="M120" s="79" t="str">
        <f t="shared" si="15"/>
        <v/>
      </c>
      <c r="N120" s="102" t="str">
        <f t="shared" si="16"/>
        <v/>
      </c>
      <c r="O120" s="946"/>
      <c r="P120" s="947"/>
      <c r="Q120" s="948"/>
      <c r="R120" s="251"/>
    </row>
    <row r="121" spans="2:18">
      <c r="B121" s="220"/>
      <c r="C121" s="75" t="s">
        <v>261</v>
      </c>
      <c r="D121" s="76" t="s">
        <v>1080</v>
      </c>
      <c r="E121" s="93" t="s">
        <v>284</v>
      </c>
      <c r="F121" s="227">
        <v>5</v>
      </c>
      <c r="G121" s="83">
        <v>26</v>
      </c>
      <c r="H121" s="98">
        <f t="shared" ref="H121:H141" si="18">G121*F121</f>
        <v>130</v>
      </c>
      <c r="I121" s="96"/>
      <c r="J121" s="82"/>
      <c r="K121" s="101">
        <f t="shared" si="17"/>
        <v>0</v>
      </c>
      <c r="L121" s="100"/>
      <c r="M121" s="79" t="str">
        <f t="shared" si="15"/>
        <v/>
      </c>
      <c r="N121" s="102" t="str">
        <f t="shared" si="16"/>
        <v/>
      </c>
      <c r="O121" s="946"/>
      <c r="P121" s="947"/>
      <c r="Q121" s="948"/>
      <c r="R121" s="251"/>
    </row>
    <row r="122" spans="2:18">
      <c r="B122" s="220"/>
      <c r="C122" s="75" t="s">
        <v>261</v>
      </c>
      <c r="D122" s="76" t="s">
        <v>1081</v>
      </c>
      <c r="E122" s="93" t="s">
        <v>284</v>
      </c>
      <c r="F122" s="227">
        <v>3</v>
      </c>
      <c r="G122" s="83">
        <v>40</v>
      </c>
      <c r="H122" s="98">
        <f t="shared" si="18"/>
        <v>120</v>
      </c>
      <c r="I122" s="96"/>
      <c r="J122" s="82"/>
      <c r="K122" s="101">
        <f t="shared" si="17"/>
        <v>0</v>
      </c>
      <c r="L122" s="100"/>
      <c r="M122" s="79" t="str">
        <f t="shared" si="15"/>
        <v/>
      </c>
      <c r="N122" s="102" t="str">
        <f t="shared" si="16"/>
        <v/>
      </c>
      <c r="O122" s="946"/>
      <c r="P122" s="947"/>
      <c r="Q122" s="948"/>
      <c r="R122" s="251"/>
    </row>
    <row r="123" spans="2:18">
      <c r="B123" s="220"/>
      <c r="C123" s="75" t="s">
        <v>261</v>
      </c>
      <c r="D123" s="76" t="s">
        <v>269</v>
      </c>
      <c r="E123" s="93" t="s">
        <v>178</v>
      </c>
      <c r="F123" s="227">
        <v>52</v>
      </c>
      <c r="G123" s="83">
        <v>12</v>
      </c>
      <c r="H123" s="98">
        <f t="shared" si="18"/>
        <v>624</v>
      </c>
      <c r="I123" s="96"/>
      <c r="J123" s="82"/>
      <c r="K123" s="101">
        <f t="shared" si="17"/>
        <v>0</v>
      </c>
      <c r="L123" s="100"/>
      <c r="M123" s="79" t="str">
        <f t="shared" si="15"/>
        <v/>
      </c>
      <c r="N123" s="102" t="str">
        <f t="shared" si="16"/>
        <v/>
      </c>
      <c r="O123" s="946"/>
      <c r="P123" s="947"/>
      <c r="Q123" s="948"/>
      <c r="R123" s="251"/>
    </row>
    <row r="124" spans="2:18">
      <c r="B124" s="220"/>
      <c r="C124" s="75" t="s">
        <v>261</v>
      </c>
      <c r="D124" s="76" t="s">
        <v>270</v>
      </c>
      <c r="E124" s="93" t="s">
        <v>178</v>
      </c>
      <c r="F124" s="227">
        <v>98</v>
      </c>
      <c r="G124" s="83">
        <v>18</v>
      </c>
      <c r="H124" s="98">
        <f t="shared" si="18"/>
        <v>1764</v>
      </c>
      <c r="I124" s="96"/>
      <c r="J124" s="82"/>
      <c r="K124" s="101">
        <f t="shared" si="17"/>
        <v>0</v>
      </c>
      <c r="L124" s="100"/>
      <c r="M124" s="79" t="str">
        <f t="shared" si="15"/>
        <v/>
      </c>
      <c r="N124" s="102" t="str">
        <f t="shared" si="16"/>
        <v/>
      </c>
      <c r="O124" s="946"/>
      <c r="P124" s="947"/>
      <c r="Q124" s="948"/>
      <c r="R124" s="251"/>
    </row>
    <row r="125" spans="2:18">
      <c r="B125" s="220"/>
      <c r="C125" s="75" t="s">
        <v>261</v>
      </c>
      <c r="D125" s="76" t="s">
        <v>271</v>
      </c>
      <c r="E125" s="93" t="s">
        <v>178</v>
      </c>
      <c r="F125" s="227">
        <v>3</v>
      </c>
      <c r="G125" s="83">
        <v>15</v>
      </c>
      <c r="H125" s="98">
        <f t="shared" si="18"/>
        <v>45</v>
      </c>
      <c r="I125" s="96"/>
      <c r="J125" s="82"/>
      <c r="K125" s="101">
        <f t="shared" si="17"/>
        <v>0</v>
      </c>
      <c r="L125" s="100"/>
      <c r="M125" s="79" t="str">
        <f t="shared" si="15"/>
        <v/>
      </c>
      <c r="N125" s="102" t="str">
        <f t="shared" si="16"/>
        <v/>
      </c>
      <c r="O125" s="946"/>
      <c r="P125" s="947"/>
      <c r="Q125" s="948"/>
      <c r="R125" s="251"/>
    </row>
    <row r="126" spans="2:18">
      <c r="B126" s="220"/>
      <c r="C126" s="75" t="s">
        <v>261</v>
      </c>
      <c r="D126" s="76" t="s">
        <v>295</v>
      </c>
      <c r="E126" s="93" t="s">
        <v>178</v>
      </c>
      <c r="F126" s="227">
        <v>52</v>
      </c>
      <c r="G126" s="83">
        <v>15</v>
      </c>
      <c r="H126" s="98">
        <f t="shared" si="18"/>
        <v>780</v>
      </c>
      <c r="I126" s="96"/>
      <c r="J126" s="82"/>
      <c r="K126" s="101">
        <f t="shared" si="17"/>
        <v>0</v>
      </c>
      <c r="L126" s="100"/>
      <c r="M126" s="79" t="str">
        <f t="shared" si="15"/>
        <v/>
      </c>
      <c r="N126" s="102" t="str">
        <f t="shared" si="16"/>
        <v/>
      </c>
      <c r="O126" s="176"/>
      <c r="P126" s="176"/>
      <c r="Q126" s="177"/>
      <c r="R126" s="251"/>
    </row>
    <row r="127" spans="2:18">
      <c r="B127" s="220"/>
      <c r="C127" s="75" t="s">
        <v>261</v>
      </c>
      <c r="D127" s="76" t="s">
        <v>296</v>
      </c>
      <c r="E127" s="93" t="s">
        <v>178</v>
      </c>
      <c r="F127" s="227">
        <v>3</v>
      </c>
      <c r="G127" s="83">
        <v>22</v>
      </c>
      <c r="H127" s="98">
        <f t="shared" si="18"/>
        <v>66</v>
      </c>
      <c r="I127" s="96"/>
      <c r="J127" s="82"/>
      <c r="K127" s="101">
        <f t="shared" si="17"/>
        <v>0</v>
      </c>
      <c r="L127" s="100"/>
      <c r="M127" s="79" t="str">
        <f t="shared" si="15"/>
        <v/>
      </c>
      <c r="N127" s="102" t="str">
        <f t="shared" si="16"/>
        <v/>
      </c>
      <c r="O127" s="176"/>
      <c r="P127" s="176"/>
      <c r="Q127" s="177"/>
      <c r="R127" s="251"/>
    </row>
    <row r="128" spans="2:18">
      <c r="B128" s="220"/>
      <c r="C128" s="75" t="s">
        <v>261</v>
      </c>
      <c r="D128" s="76" t="s">
        <v>287</v>
      </c>
      <c r="E128" s="93" t="s">
        <v>178</v>
      </c>
      <c r="F128" s="227">
        <v>16</v>
      </c>
      <c r="G128" s="83">
        <v>350</v>
      </c>
      <c r="H128" s="98">
        <f t="shared" si="18"/>
        <v>5600</v>
      </c>
      <c r="I128" s="96"/>
      <c r="J128" s="82"/>
      <c r="K128" s="101">
        <f t="shared" si="17"/>
        <v>0</v>
      </c>
      <c r="L128" s="100"/>
      <c r="M128" s="79" t="str">
        <f t="shared" si="15"/>
        <v/>
      </c>
      <c r="N128" s="102" t="str">
        <f t="shared" si="16"/>
        <v/>
      </c>
      <c r="O128" s="946"/>
      <c r="P128" s="947"/>
      <c r="Q128" s="948"/>
      <c r="R128" s="251"/>
    </row>
    <row r="129" spans="2:18">
      <c r="B129" s="220"/>
      <c r="C129" s="75" t="s">
        <v>261</v>
      </c>
      <c r="D129" s="76" t="s">
        <v>286</v>
      </c>
      <c r="E129" s="93" t="s">
        <v>178</v>
      </c>
      <c r="F129" s="227">
        <v>63</v>
      </c>
      <c r="G129" s="83">
        <v>90</v>
      </c>
      <c r="H129" s="98">
        <f t="shared" si="18"/>
        <v>5670</v>
      </c>
      <c r="I129" s="96"/>
      <c r="J129" s="82"/>
      <c r="K129" s="101">
        <f t="shared" si="17"/>
        <v>0</v>
      </c>
      <c r="L129" s="100"/>
      <c r="M129" s="79" t="str">
        <f t="shared" si="15"/>
        <v/>
      </c>
      <c r="N129" s="102" t="str">
        <f t="shared" si="16"/>
        <v/>
      </c>
      <c r="O129" s="946"/>
      <c r="P129" s="947"/>
      <c r="Q129" s="948"/>
      <c r="R129" s="251"/>
    </row>
    <row r="130" spans="2:18">
      <c r="B130" s="220"/>
      <c r="C130" s="75" t="s">
        <v>261</v>
      </c>
      <c r="D130" s="76" t="s">
        <v>285</v>
      </c>
      <c r="E130" s="93" t="s">
        <v>178</v>
      </c>
      <c r="F130" s="227">
        <v>8</v>
      </c>
      <c r="G130" s="83">
        <v>210</v>
      </c>
      <c r="H130" s="98">
        <f t="shared" si="18"/>
        <v>1680</v>
      </c>
      <c r="I130" s="96"/>
      <c r="J130" s="82"/>
      <c r="K130" s="101">
        <f t="shared" si="17"/>
        <v>0</v>
      </c>
      <c r="L130" s="100"/>
      <c r="M130" s="79" t="str">
        <f t="shared" si="15"/>
        <v/>
      </c>
      <c r="N130" s="102" t="str">
        <f t="shared" si="16"/>
        <v/>
      </c>
      <c r="O130" s="946"/>
      <c r="P130" s="947"/>
      <c r="Q130" s="948"/>
      <c r="R130" s="251"/>
    </row>
    <row r="131" spans="2:18">
      <c r="B131" s="220"/>
      <c r="C131" s="75" t="s">
        <v>261</v>
      </c>
      <c r="D131" s="76" t="s">
        <v>288</v>
      </c>
      <c r="E131" s="93" t="s">
        <v>178</v>
      </c>
      <c r="F131" s="227">
        <v>5</v>
      </c>
      <c r="G131" s="83">
        <v>180</v>
      </c>
      <c r="H131" s="98">
        <f t="shared" si="18"/>
        <v>900</v>
      </c>
      <c r="I131" s="96"/>
      <c r="J131" s="82"/>
      <c r="K131" s="101">
        <f t="shared" si="17"/>
        <v>0</v>
      </c>
      <c r="L131" s="100"/>
      <c r="M131" s="79" t="str">
        <f t="shared" si="15"/>
        <v/>
      </c>
      <c r="N131" s="102" t="str">
        <f t="shared" si="16"/>
        <v/>
      </c>
      <c r="O131" s="946"/>
      <c r="P131" s="947"/>
      <c r="Q131" s="948"/>
      <c r="R131" s="251"/>
    </row>
    <row r="132" spans="2:18">
      <c r="B132" s="220"/>
      <c r="C132" s="75" t="s">
        <v>261</v>
      </c>
      <c r="D132" s="76" t="s">
        <v>289</v>
      </c>
      <c r="E132" s="93" t="s">
        <v>178</v>
      </c>
      <c r="F132" s="227">
        <v>1</v>
      </c>
      <c r="G132" s="83">
        <v>200</v>
      </c>
      <c r="H132" s="98">
        <f t="shared" si="18"/>
        <v>200</v>
      </c>
      <c r="I132" s="96"/>
      <c r="J132" s="82"/>
      <c r="K132" s="101">
        <f t="shared" si="17"/>
        <v>0</v>
      </c>
      <c r="L132" s="100"/>
      <c r="M132" s="79" t="str">
        <f t="shared" si="15"/>
        <v/>
      </c>
      <c r="N132" s="102" t="str">
        <f t="shared" si="16"/>
        <v/>
      </c>
      <c r="O132" s="946"/>
      <c r="P132" s="947"/>
      <c r="Q132" s="948"/>
      <c r="R132" s="251"/>
    </row>
    <row r="133" spans="2:18">
      <c r="B133" s="220"/>
      <c r="C133" s="75" t="s">
        <v>261</v>
      </c>
      <c r="D133" s="76" t="s">
        <v>1082</v>
      </c>
      <c r="E133" s="93" t="s">
        <v>283</v>
      </c>
      <c r="F133" s="227">
        <v>1</v>
      </c>
      <c r="G133" s="83">
        <v>3000</v>
      </c>
      <c r="H133" s="98">
        <f t="shared" si="18"/>
        <v>3000</v>
      </c>
      <c r="I133" s="96"/>
      <c r="J133" s="82"/>
      <c r="K133" s="101">
        <f t="shared" si="17"/>
        <v>0</v>
      </c>
      <c r="L133" s="100"/>
      <c r="M133" s="79" t="str">
        <f t="shared" si="15"/>
        <v/>
      </c>
      <c r="N133" s="102" t="str">
        <f t="shared" si="16"/>
        <v/>
      </c>
      <c r="O133" s="955"/>
      <c r="P133" s="956"/>
      <c r="Q133" s="957"/>
      <c r="R133" s="251"/>
    </row>
    <row r="134" spans="2:18">
      <c r="B134" s="220"/>
      <c r="C134" s="75" t="s">
        <v>261</v>
      </c>
      <c r="D134" s="76" t="s">
        <v>1118</v>
      </c>
      <c r="E134" s="93" t="s">
        <v>178</v>
      </c>
      <c r="F134" s="227">
        <v>2</v>
      </c>
      <c r="G134" s="83">
        <v>700</v>
      </c>
      <c r="H134" s="98">
        <f t="shared" si="18"/>
        <v>1400</v>
      </c>
      <c r="I134" s="96"/>
      <c r="J134" s="82"/>
      <c r="K134" s="101">
        <f t="shared" si="17"/>
        <v>0</v>
      </c>
      <c r="L134" s="100"/>
      <c r="M134" s="79" t="str">
        <f t="shared" si="15"/>
        <v/>
      </c>
      <c r="N134" s="102" t="str">
        <f t="shared" si="16"/>
        <v/>
      </c>
      <c r="O134" s="176"/>
      <c r="P134" s="176"/>
      <c r="Q134" s="177"/>
      <c r="R134" s="251"/>
    </row>
    <row r="135" spans="2:18">
      <c r="B135" s="220"/>
      <c r="C135" s="75" t="s">
        <v>261</v>
      </c>
      <c r="D135" s="76" t="s">
        <v>1143</v>
      </c>
      <c r="E135" s="93" t="s">
        <v>178</v>
      </c>
      <c r="F135" s="227">
        <v>2</v>
      </c>
      <c r="G135" s="83">
        <v>130</v>
      </c>
      <c r="H135" s="98">
        <f t="shared" si="18"/>
        <v>260</v>
      </c>
      <c r="I135" s="96"/>
      <c r="J135" s="82"/>
      <c r="K135" s="101">
        <f t="shared" si="17"/>
        <v>0</v>
      </c>
      <c r="L135" s="100"/>
      <c r="M135" s="79" t="str">
        <f t="shared" si="15"/>
        <v/>
      </c>
      <c r="N135" s="102" t="str">
        <f t="shared" si="16"/>
        <v/>
      </c>
      <c r="O135" s="176"/>
      <c r="P135" s="176"/>
      <c r="Q135" s="177"/>
      <c r="R135" s="251"/>
    </row>
    <row r="136" spans="2:18">
      <c r="B136" s="220"/>
      <c r="C136" s="75" t="s">
        <v>261</v>
      </c>
      <c r="D136" s="76" t="s">
        <v>1140</v>
      </c>
      <c r="E136" s="93" t="s">
        <v>178</v>
      </c>
      <c r="F136" s="227"/>
      <c r="G136" s="83">
        <v>140</v>
      </c>
      <c r="H136" s="98">
        <f t="shared" si="18"/>
        <v>0</v>
      </c>
      <c r="I136" s="96"/>
      <c r="J136" s="82"/>
      <c r="K136" s="101">
        <f t="shared" si="17"/>
        <v>0</v>
      </c>
      <c r="L136" s="100"/>
      <c r="M136" s="79" t="str">
        <f t="shared" si="15"/>
        <v/>
      </c>
      <c r="N136" s="102" t="str">
        <f t="shared" si="16"/>
        <v/>
      </c>
      <c r="O136" s="946"/>
      <c r="P136" s="947"/>
      <c r="Q136" s="948"/>
      <c r="R136" s="251"/>
    </row>
    <row r="137" spans="2:18">
      <c r="B137" s="220"/>
      <c r="C137" s="75" t="s">
        <v>261</v>
      </c>
      <c r="D137" s="76" t="s">
        <v>1142</v>
      </c>
      <c r="E137" s="93" t="s">
        <v>178</v>
      </c>
      <c r="F137" s="227">
        <v>2</v>
      </c>
      <c r="G137" s="83">
        <v>150</v>
      </c>
      <c r="H137" s="98">
        <f>F137*G137</f>
        <v>300</v>
      </c>
      <c r="I137" s="96"/>
      <c r="J137" s="82"/>
      <c r="K137" s="101">
        <f t="shared" si="17"/>
        <v>0</v>
      </c>
      <c r="L137" s="100"/>
      <c r="M137" s="79"/>
      <c r="N137" s="102"/>
      <c r="O137" s="856"/>
      <c r="P137" s="857"/>
      <c r="Q137" s="858"/>
      <c r="R137" s="251"/>
    </row>
    <row r="138" spans="2:18">
      <c r="B138" s="220"/>
      <c r="C138" s="75" t="s">
        <v>261</v>
      </c>
      <c r="D138" s="76" t="s">
        <v>1141</v>
      </c>
      <c r="E138" s="93" t="s">
        <v>178</v>
      </c>
      <c r="F138" s="227">
        <v>1</v>
      </c>
      <c r="G138" s="83">
        <v>180</v>
      </c>
      <c r="H138" s="98">
        <f>F138*G138</f>
        <v>180</v>
      </c>
      <c r="I138" s="96"/>
      <c r="J138" s="82"/>
      <c r="K138" s="101">
        <f t="shared" si="17"/>
        <v>0</v>
      </c>
      <c r="L138" s="100"/>
      <c r="M138" s="79"/>
      <c r="N138" s="102"/>
      <c r="O138" s="856"/>
      <c r="P138" s="857"/>
      <c r="Q138" s="858"/>
      <c r="R138" s="251"/>
    </row>
    <row r="139" spans="2:18">
      <c r="B139" s="220"/>
      <c r="C139" s="75" t="s">
        <v>261</v>
      </c>
      <c r="D139" s="76"/>
      <c r="E139" s="93"/>
      <c r="F139" s="227"/>
      <c r="G139" s="83"/>
      <c r="H139" s="98">
        <f t="shared" si="18"/>
        <v>0</v>
      </c>
      <c r="I139" s="96"/>
      <c r="J139" s="82"/>
      <c r="K139" s="101">
        <f t="shared" si="17"/>
        <v>0</v>
      </c>
      <c r="L139" s="100"/>
      <c r="M139" s="79" t="str">
        <f t="shared" si="15"/>
        <v/>
      </c>
      <c r="N139" s="102" t="str">
        <f t="shared" si="16"/>
        <v/>
      </c>
      <c r="O139" s="946"/>
      <c r="P139" s="947"/>
      <c r="Q139" s="948"/>
      <c r="R139" s="251"/>
    </row>
    <row r="140" spans="2:18">
      <c r="B140" s="220"/>
      <c r="C140" s="75" t="s">
        <v>261</v>
      </c>
      <c r="D140" s="970" t="s">
        <v>292</v>
      </c>
      <c r="E140" s="971"/>
      <c r="F140" s="971"/>
      <c r="G140" s="971"/>
      <c r="H140" s="971"/>
      <c r="I140" s="971"/>
      <c r="J140" s="971"/>
      <c r="K140" s="971"/>
      <c r="L140" s="971"/>
      <c r="M140" s="971"/>
      <c r="N140" s="971"/>
      <c r="O140" s="971"/>
      <c r="P140" s="971"/>
      <c r="Q140" s="972"/>
      <c r="R140" s="251"/>
    </row>
    <row r="141" spans="2:18">
      <c r="B141" s="220"/>
      <c r="C141" s="75" t="s">
        <v>261</v>
      </c>
      <c r="D141" s="76" t="s">
        <v>282</v>
      </c>
      <c r="E141" s="93" t="s">
        <v>140</v>
      </c>
      <c r="F141" s="227">
        <v>100</v>
      </c>
      <c r="G141" s="83">
        <v>3</v>
      </c>
      <c r="H141" s="98">
        <f t="shared" si="18"/>
        <v>300</v>
      </c>
      <c r="I141" s="96"/>
      <c r="J141" s="82"/>
      <c r="K141" s="101">
        <f t="shared" si="17"/>
        <v>0</v>
      </c>
      <c r="L141" s="100"/>
      <c r="M141" s="79" t="str">
        <f t="shared" si="15"/>
        <v/>
      </c>
      <c r="N141" s="102" t="str">
        <f t="shared" si="16"/>
        <v/>
      </c>
      <c r="O141" s="955"/>
      <c r="P141" s="956"/>
      <c r="Q141" s="957"/>
      <c r="R141" s="251"/>
    </row>
    <row r="142" spans="2:18">
      <c r="B142" s="220"/>
      <c r="C142" s="75" t="s">
        <v>261</v>
      </c>
      <c r="D142" s="76" t="s">
        <v>294</v>
      </c>
      <c r="E142" s="93" t="s">
        <v>178</v>
      </c>
      <c r="F142" s="227">
        <v>12</v>
      </c>
      <c r="G142" s="83">
        <v>6</v>
      </c>
      <c r="H142" s="98">
        <f t="shared" ref="H142:H153" si="19">G142*F142</f>
        <v>72</v>
      </c>
      <c r="I142" s="96"/>
      <c r="J142" s="82"/>
      <c r="K142" s="101">
        <f t="shared" ref="K142:K153" si="20">I142*J142</f>
        <v>0</v>
      </c>
      <c r="L142" s="100"/>
      <c r="M142" s="79" t="str">
        <f t="shared" ref="M142:M153" si="21">IF(L142="S",H142-K142,"")</f>
        <v/>
      </c>
      <c r="N142" s="102" t="str">
        <f t="shared" ref="N142:N153" si="22">IF(L142="S",IF(M142&gt;0,"Poupou",IF(M142=0,"Planejado","Estourou")),"")</f>
        <v/>
      </c>
      <c r="O142" s="946"/>
      <c r="P142" s="947"/>
      <c r="Q142" s="948"/>
      <c r="R142" s="251"/>
    </row>
    <row r="143" spans="2:18">
      <c r="B143" s="220"/>
      <c r="C143" s="75" t="s">
        <v>261</v>
      </c>
      <c r="D143" s="76" t="s">
        <v>297</v>
      </c>
      <c r="E143" s="93" t="s">
        <v>178</v>
      </c>
      <c r="F143" s="227">
        <v>12</v>
      </c>
      <c r="G143" s="83">
        <v>7.5</v>
      </c>
      <c r="H143" s="98">
        <f t="shared" si="19"/>
        <v>90</v>
      </c>
      <c r="I143" s="96"/>
      <c r="J143" s="82"/>
      <c r="K143" s="101">
        <f t="shared" si="20"/>
        <v>0</v>
      </c>
      <c r="L143" s="100"/>
      <c r="M143" s="79" t="str">
        <f t="shared" si="21"/>
        <v/>
      </c>
      <c r="N143" s="102" t="str">
        <f t="shared" si="22"/>
        <v/>
      </c>
      <c r="O143" s="946"/>
      <c r="P143" s="947"/>
      <c r="Q143" s="948"/>
      <c r="R143" s="251"/>
    </row>
    <row r="144" spans="2:18">
      <c r="B144" s="220"/>
      <c r="C144" s="75" t="s">
        <v>261</v>
      </c>
      <c r="D144" s="76" t="s">
        <v>298</v>
      </c>
      <c r="E144" s="93" t="s">
        <v>178</v>
      </c>
      <c r="F144" s="227"/>
      <c r="G144" s="83">
        <v>9</v>
      </c>
      <c r="H144" s="98">
        <f t="shared" si="19"/>
        <v>0</v>
      </c>
      <c r="I144" s="96"/>
      <c r="J144" s="82"/>
      <c r="K144" s="101">
        <f t="shared" si="20"/>
        <v>0</v>
      </c>
      <c r="L144" s="100"/>
      <c r="M144" s="79" t="str">
        <f t="shared" si="21"/>
        <v/>
      </c>
      <c r="N144" s="102" t="str">
        <f t="shared" si="22"/>
        <v/>
      </c>
      <c r="O144" s="946"/>
      <c r="P144" s="947"/>
      <c r="Q144" s="948"/>
      <c r="R144" s="251"/>
    </row>
    <row r="145" spans="2:18">
      <c r="B145" s="220"/>
      <c r="C145" s="75" t="s">
        <v>261</v>
      </c>
      <c r="D145" s="76" t="s">
        <v>301</v>
      </c>
      <c r="E145" s="93" t="s">
        <v>178</v>
      </c>
      <c r="F145" s="227">
        <v>4</v>
      </c>
      <c r="G145" s="83">
        <v>56</v>
      </c>
      <c r="H145" s="98">
        <f t="shared" si="19"/>
        <v>224</v>
      </c>
      <c r="I145" s="96"/>
      <c r="J145" s="82"/>
      <c r="K145" s="101">
        <f t="shared" si="20"/>
        <v>0</v>
      </c>
      <c r="L145" s="100"/>
      <c r="M145" s="79" t="str">
        <f t="shared" si="21"/>
        <v/>
      </c>
      <c r="N145" s="102" t="str">
        <f t="shared" si="22"/>
        <v/>
      </c>
      <c r="O145" s="946"/>
      <c r="P145" s="947"/>
      <c r="Q145" s="948"/>
      <c r="R145" s="251"/>
    </row>
    <row r="146" spans="2:18">
      <c r="B146" s="220"/>
      <c r="C146" s="75" t="s">
        <v>261</v>
      </c>
      <c r="D146" s="76" t="s">
        <v>302</v>
      </c>
      <c r="E146" s="93" t="s">
        <v>178</v>
      </c>
      <c r="F146" s="227">
        <v>4</v>
      </c>
      <c r="G146" s="83">
        <v>25</v>
      </c>
      <c r="H146" s="98">
        <f t="shared" si="19"/>
        <v>100</v>
      </c>
      <c r="I146" s="96"/>
      <c r="J146" s="82"/>
      <c r="K146" s="101">
        <f t="shared" si="20"/>
        <v>0</v>
      </c>
      <c r="L146" s="100"/>
      <c r="M146" s="79" t="str">
        <f t="shared" si="21"/>
        <v/>
      </c>
      <c r="N146" s="102" t="str">
        <f t="shared" si="22"/>
        <v/>
      </c>
      <c r="O146" s="946"/>
      <c r="P146" s="947"/>
      <c r="Q146" s="948"/>
      <c r="R146" s="251"/>
    </row>
    <row r="147" spans="2:18">
      <c r="B147" s="220"/>
      <c r="C147" s="75" t="s">
        <v>261</v>
      </c>
      <c r="D147" s="76" t="s">
        <v>299</v>
      </c>
      <c r="E147" s="93" t="s">
        <v>140</v>
      </c>
      <c r="F147" s="227">
        <v>40</v>
      </c>
      <c r="G147" s="83">
        <v>4</v>
      </c>
      <c r="H147" s="98">
        <f t="shared" si="19"/>
        <v>160</v>
      </c>
      <c r="I147" s="96"/>
      <c r="J147" s="82"/>
      <c r="K147" s="101">
        <f t="shared" si="20"/>
        <v>0</v>
      </c>
      <c r="L147" s="100"/>
      <c r="M147" s="79" t="str">
        <f t="shared" si="21"/>
        <v/>
      </c>
      <c r="N147" s="102" t="str">
        <f t="shared" si="22"/>
        <v/>
      </c>
      <c r="O147" s="946"/>
      <c r="P147" s="947"/>
      <c r="Q147" s="948"/>
      <c r="R147" s="251"/>
    </row>
    <row r="148" spans="2:18">
      <c r="B148" s="220"/>
      <c r="C148" s="75" t="s">
        <v>261</v>
      </c>
      <c r="D148" s="76" t="s">
        <v>300</v>
      </c>
      <c r="E148" s="93" t="s">
        <v>140</v>
      </c>
      <c r="F148" s="227">
        <v>30</v>
      </c>
      <c r="G148" s="83">
        <v>5</v>
      </c>
      <c r="H148" s="98">
        <f t="shared" si="19"/>
        <v>150</v>
      </c>
      <c r="I148" s="96"/>
      <c r="J148" s="82"/>
      <c r="K148" s="101">
        <f t="shared" si="20"/>
        <v>0</v>
      </c>
      <c r="L148" s="100"/>
      <c r="M148" s="79" t="str">
        <f t="shared" si="21"/>
        <v/>
      </c>
      <c r="N148" s="102" t="str">
        <f t="shared" si="22"/>
        <v/>
      </c>
      <c r="O148" s="946"/>
      <c r="P148" s="947"/>
      <c r="Q148" s="948"/>
      <c r="R148" s="251"/>
    </row>
    <row r="149" spans="2:18">
      <c r="B149" s="220"/>
      <c r="C149" s="75" t="s">
        <v>261</v>
      </c>
      <c r="D149" s="76" t="s">
        <v>1083</v>
      </c>
      <c r="E149" s="93" t="s">
        <v>140</v>
      </c>
      <c r="F149" s="227">
        <v>40</v>
      </c>
      <c r="G149" s="83">
        <v>4</v>
      </c>
      <c r="H149" s="98">
        <f t="shared" si="19"/>
        <v>160</v>
      </c>
      <c r="I149" s="96"/>
      <c r="J149" s="82"/>
      <c r="K149" s="101">
        <f t="shared" si="20"/>
        <v>0</v>
      </c>
      <c r="L149" s="100"/>
      <c r="M149" s="79" t="str">
        <f t="shared" si="21"/>
        <v/>
      </c>
      <c r="N149" s="102" t="str">
        <f t="shared" si="22"/>
        <v/>
      </c>
      <c r="O149" s="946"/>
      <c r="P149" s="947"/>
      <c r="Q149" s="948"/>
      <c r="R149" s="251"/>
    </row>
    <row r="150" spans="2:18">
      <c r="B150" s="220"/>
      <c r="C150" s="75" t="s">
        <v>261</v>
      </c>
      <c r="D150" s="76" t="s">
        <v>1142</v>
      </c>
      <c r="E150" s="93" t="s">
        <v>178</v>
      </c>
      <c r="F150" s="227">
        <v>2</v>
      </c>
      <c r="G150" s="83">
        <v>150</v>
      </c>
      <c r="H150" s="98">
        <f t="shared" si="19"/>
        <v>300</v>
      </c>
      <c r="I150" s="96"/>
      <c r="J150" s="82"/>
      <c r="K150" s="101">
        <f t="shared" si="20"/>
        <v>0</v>
      </c>
      <c r="L150" s="100"/>
      <c r="M150" s="79" t="str">
        <f t="shared" si="21"/>
        <v/>
      </c>
      <c r="N150" s="102" t="str">
        <f t="shared" si="22"/>
        <v/>
      </c>
      <c r="O150" s="946"/>
      <c r="P150" s="947"/>
      <c r="Q150" s="948"/>
      <c r="R150" s="251"/>
    </row>
    <row r="151" spans="2:18">
      <c r="B151" s="220"/>
      <c r="C151" s="75" t="s">
        <v>261</v>
      </c>
      <c r="D151" s="76" t="s">
        <v>1141</v>
      </c>
      <c r="E151" s="93" t="s">
        <v>178</v>
      </c>
      <c r="F151" s="227">
        <v>1</v>
      </c>
      <c r="G151" s="83">
        <v>180</v>
      </c>
      <c r="H151" s="98">
        <f t="shared" si="19"/>
        <v>180</v>
      </c>
      <c r="I151" s="96"/>
      <c r="J151" s="82"/>
      <c r="K151" s="101">
        <f t="shared" si="20"/>
        <v>0</v>
      </c>
      <c r="L151" s="100"/>
      <c r="M151" s="79" t="str">
        <f t="shared" si="21"/>
        <v/>
      </c>
      <c r="N151" s="102" t="str">
        <f t="shared" si="22"/>
        <v/>
      </c>
      <c r="O151" s="946"/>
      <c r="P151" s="947"/>
      <c r="Q151" s="948"/>
      <c r="R151" s="251"/>
    </row>
    <row r="152" spans="2:18">
      <c r="B152" s="220"/>
      <c r="C152" s="75" t="s">
        <v>261</v>
      </c>
      <c r="D152" s="76"/>
      <c r="E152" s="93"/>
      <c r="F152" s="227"/>
      <c r="G152" s="83"/>
      <c r="H152" s="98">
        <f t="shared" si="19"/>
        <v>0</v>
      </c>
      <c r="I152" s="96"/>
      <c r="J152" s="82"/>
      <c r="K152" s="101">
        <f t="shared" si="20"/>
        <v>0</v>
      </c>
      <c r="L152" s="100"/>
      <c r="M152" s="79" t="str">
        <f t="shared" si="21"/>
        <v/>
      </c>
      <c r="N152" s="102" t="str">
        <f t="shared" si="22"/>
        <v/>
      </c>
      <c r="O152" s="176"/>
      <c r="P152" s="176"/>
      <c r="Q152" s="177"/>
      <c r="R152" s="251"/>
    </row>
    <row r="153" spans="2:18" ht="15.75" thickBot="1">
      <c r="B153" s="220"/>
      <c r="C153" s="229" t="s">
        <v>261</v>
      </c>
      <c r="D153" s="76"/>
      <c r="E153" s="93"/>
      <c r="F153" s="227"/>
      <c r="G153" s="83"/>
      <c r="H153" s="98">
        <f t="shared" si="19"/>
        <v>0</v>
      </c>
      <c r="I153" s="96"/>
      <c r="J153" s="82"/>
      <c r="K153" s="101">
        <f t="shared" si="20"/>
        <v>0</v>
      </c>
      <c r="L153" s="100"/>
      <c r="M153" s="79" t="str">
        <f t="shared" si="21"/>
        <v/>
      </c>
      <c r="N153" s="102" t="str">
        <f t="shared" si="22"/>
        <v/>
      </c>
      <c r="O153" s="958"/>
      <c r="P153" s="959"/>
      <c r="Q153" s="960"/>
      <c r="R153" s="251"/>
    </row>
    <row r="154" spans="2:18" ht="15.75" thickBot="1">
      <c r="B154" s="220"/>
      <c r="C154" s="127" t="s">
        <v>128</v>
      </c>
      <c r="D154" s="128"/>
      <c r="E154" s="129"/>
      <c r="F154" s="130"/>
      <c r="G154" s="131"/>
      <c r="H154" s="132">
        <f>SUM(H141:H153)+SUM(H102:H139)</f>
        <v>69465</v>
      </c>
      <c r="I154" s="133"/>
      <c r="J154" s="131"/>
      <c r="K154" s="132">
        <f>SUM(K141:K153)+SUM(K102:K139)</f>
        <v>0</v>
      </c>
      <c r="L154" s="133"/>
      <c r="M154" s="131">
        <f>SUM(M141:M153)+SUM(M102:M139)</f>
        <v>0</v>
      </c>
      <c r="N154" s="135" t="str">
        <f>IF(M154&gt;0,"Poupou",IF(M154=0,"Planejado","Estourou"))</f>
        <v>Planejado</v>
      </c>
      <c r="O154" s="949"/>
      <c r="P154" s="950"/>
      <c r="Q154" s="951"/>
      <c r="R154" s="251"/>
    </row>
    <row r="155" spans="2:18">
      <c r="B155" s="220"/>
      <c r="C155" s="115" t="s">
        <v>304</v>
      </c>
      <c r="D155" s="76" t="s">
        <v>306</v>
      </c>
      <c r="E155" s="93" t="s">
        <v>178</v>
      </c>
      <c r="F155" s="227">
        <f>IF('LISTA MATERIAIS'!F12&lt;100,2,4)</f>
        <v>4</v>
      </c>
      <c r="G155" s="83">
        <v>10</v>
      </c>
      <c r="H155" s="98">
        <f t="shared" ref="H155:H167" si="23">G155*F155</f>
        <v>40</v>
      </c>
      <c r="I155" s="96"/>
      <c r="J155" s="82"/>
      <c r="K155" s="101">
        <f t="shared" ref="K155:K167" si="24">I155*J155</f>
        <v>0</v>
      </c>
      <c r="L155" s="100"/>
      <c r="M155" s="79" t="str">
        <f t="shared" ref="M155:M167" si="25">IF(L155="S",H155-K155,"")</f>
        <v/>
      </c>
      <c r="N155" s="102" t="str">
        <f t="shared" ref="N155:N167" si="26">IF(L155="S",IF(M155&gt;0,"Poupou",IF(M155=0,"Planejado","Estourou")),"")</f>
        <v/>
      </c>
      <c r="O155" s="955"/>
      <c r="P155" s="956"/>
      <c r="Q155" s="957"/>
      <c r="R155" s="251"/>
    </row>
    <row r="156" spans="2:18">
      <c r="B156" s="220"/>
      <c r="C156" s="75" t="s">
        <v>304</v>
      </c>
      <c r="D156" s="76" t="s">
        <v>307</v>
      </c>
      <c r="E156" s="93" t="s">
        <v>140</v>
      </c>
      <c r="F156" s="227">
        <f>F155</f>
        <v>4</v>
      </c>
      <c r="G156" s="83">
        <v>6</v>
      </c>
      <c r="H156" s="98">
        <f t="shared" si="23"/>
        <v>24</v>
      </c>
      <c r="I156" s="96"/>
      <c r="J156" s="82"/>
      <c r="K156" s="101">
        <f t="shared" si="24"/>
        <v>0</v>
      </c>
      <c r="L156" s="100"/>
      <c r="M156" s="79" t="str">
        <f t="shared" si="25"/>
        <v/>
      </c>
      <c r="N156" s="102" t="str">
        <f t="shared" si="26"/>
        <v/>
      </c>
      <c r="O156" s="946"/>
      <c r="P156" s="947"/>
      <c r="Q156" s="948"/>
      <c r="R156" s="251"/>
    </row>
    <row r="157" spans="2:18">
      <c r="B157" s="220"/>
      <c r="C157" s="75" t="s">
        <v>304</v>
      </c>
      <c r="D157" s="964" t="s">
        <v>305</v>
      </c>
      <c r="E157" s="965"/>
      <c r="F157" s="965"/>
      <c r="G157" s="965"/>
      <c r="H157" s="965"/>
      <c r="I157" s="965"/>
      <c r="J157" s="965"/>
      <c r="K157" s="965"/>
      <c r="L157" s="965"/>
      <c r="M157" s="965"/>
      <c r="N157" s="965"/>
      <c r="O157" s="965"/>
      <c r="P157" s="965"/>
      <c r="Q157" s="966"/>
      <c r="R157" s="251"/>
    </row>
    <row r="158" spans="2:18">
      <c r="B158" s="220"/>
      <c r="C158" s="75" t="s">
        <v>304</v>
      </c>
      <c r="D158" s="76" t="s">
        <v>309</v>
      </c>
      <c r="E158" s="93" t="s">
        <v>178</v>
      </c>
      <c r="F158" s="227">
        <v>1</v>
      </c>
      <c r="G158" s="83">
        <v>180</v>
      </c>
      <c r="H158" s="98">
        <f t="shared" si="23"/>
        <v>180</v>
      </c>
      <c r="I158" s="96"/>
      <c r="J158" s="82"/>
      <c r="K158" s="101">
        <f t="shared" si="24"/>
        <v>0</v>
      </c>
      <c r="L158" s="100"/>
      <c r="M158" s="79" t="str">
        <f t="shared" si="25"/>
        <v/>
      </c>
      <c r="N158" s="102" t="str">
        <f t="shared" si="26"/>
        <v/>
      </c>
      <c r="O158" s="955"/>
      <c r="P158" s="956"/>
      <c r="Q158" s="957"/>
      <c r="R158" s="251"/>
    </row>
    <row r="159" spans="2:18">
      <c r="B159" s="220"/>
      <c r="C159" s="75" t="s">
        <v>304</v>
      </c>
      <c r="D159" s="76" t="s">
        <v>311</v>
      </c>
      <c r="E159" s="93" t="s">
        <v>178</v>
      </c>
      <c r="F159" s="227">
        <v>2</v>
      </c>
      <c r="G159" s="83">
        <v>820</v>
      </c>
      <c r="H159" s="98">
        <f t="shared" si="23"/>
        <v>1640</v>
      </c>
      <c r="I159" s="96"/>
      <c r="J159" s="82"/>
      <c r="K159" s="101">
        <f t="shared" si="24"/>
        <v>0</v>
      </c>
      <c r="L159" s="100"/>
      <c r="M159" s="79" t="str">
        <f t="shared" si="25"/>
        <v/>
      </c>
      <c r="N159" s="102" t="str">
        <f t="shared" si="26"/>
        <v/>
      </c>
      <c r="O159" s="961" t="s">
        <v>1104</v>
      </c>
      <c r="P159" s="962"/>
      <c r="Q159" s="963"/>
      <c r="R159" s="251"/>
    </row>
    <row r="160" spans="2:18">
      <c r="B160" s="220"/>
      <c r="C160" s="75" t="s">
        <v>304</v>
      </c>
      <c r="D160" s="76" t="s">
        <v>310</v>
      </c>
      <c r="E160" s="93" t="s">
        <v>178</v>
      </c>
      <c r="F160" s="227">
        <f>F159</f>
        <v>2</v>
      </c>
      <c r="G160" s="83">
        <v>150</v>
      </c>
      <c r="H160" s="98">
        <f t="shared" si="23"/>
        <v>300</v>
      </c>
      <c r="I160" s="96"/>
      <c r="J160" s="82"/>
      <c r="K160" s="101">
        <f t="shared" si="24"/>
        <v>0</v>
      </c>
      <c r="L160" s="100"/>
      <c r="M160" s="79" t="str">
        <f t="shared" si="25"/>
        <v/>
      </c>
      <c r="N160" s="102" t="str">
        <f t="shared" si="26"/>
        <v/>
      </c>
      <c r="O160" s="946"/>
      <c r="P160" s="947"/>
      <c r="Q160" s="948"/>
      <c r="R160" s="251"/>
    </row>
    <row r="161" spans="2:18">
      <c r="B161" s="220"/>
      <c r="C161" s="75" t="s">
        <v>304</v>
      </c>
      <c r="D161" s="76" t="s">
        <v>312</v>
      </c>
      <c r="E161" s="93" t="s">
        <v>178</v>
      </c>
      <c r="F161" s="227">
        <f>F159</f>
        <v>2</v>
      </c>
      <c r="G161" s="83">
        <v>120</v>
      </c>
      <c r="H161" s="98">
        <f t="shared" si="23"/>
        <v>240</v>
      </c>
      <c r="I161" s="96"/>
      <c r="J161" s="82"/>
      <c r="K161" s="101">
        <f t="shared" si="24"/>
        <v>0</v>
      </c>
      <c r="L161" s="100"/>
      <c r="M161" s="79" t="str">
        <f t="shared" si="25"/>
        <v/>
      </c>
      <c r="N161" s="102" t="str">
        <f t="shared" si="26"/>
        <v/>
      </c>
      <c r="O161" s="946"/>
      <c r="P161" s="947"/>
      <c r="Q161" s="948"/>
      <c r="R161" s="251"/>
    </row>
    <row r="162" spans="2:18">
      <c r="B162" s="220"/>
      <c r="C162" s="75" t="s">
        <v>304</v>
      </c>
      <c r="D162" s="76" t="s">
        <v>313</v>
      </c>
      <c r="E162" s="93" t="s">
        <v>140</v>
      </c>
      <c r="F162" s="227">
        <v>104.33</v>
      </c>
      <c r="G162" s="83">
        <v>18</v>
      </c>
      <c r="H162" s="98">
        <f>(F162/3)*G162</f>
        <v>625.9799999999999</v>
      </c>
      <c r="I162" s="96"/>
      <c r="J162" s="82"/>
      <c r="K162" s="101">
        <f>(I162/3)*J162</f>
        <v>0</v>
      </c>
      <c r="L162" s="100"/>
      <c r="M162" s="79" t="str">
        <f t="shared" si="25"/>
        <v/>
      </c>
      <c r="N162" s="102" t="str">
        <f t="shared" si="26"/>
        <v/>
      </c>
      <c r="O162" s="961" t="s">
        <v>1084</v>
      </c>
      <c r="P162" s="962"/>
      <c r="Q162" s="963"/>
      <c r="R162" s="251"/>
    </row>
    <row r="163" spans="2:18">
      <c r="B163" s="220"/>
      <c r="C163" s="75" t="s">
        <v>304</v>
      </c>
      <c r="D163" s="76" t="s">
        <v>316</v>
      </c>
      <c r="E163" s="93" t="s">
        <v>178</v>
      </c>
      <c r="F163" s="227">
        <v>33</v>
      </c>
      <c r="G163" s="83">
        <v>1.5</v>
      </c>
      <c r="H163" s="98">
        <f t="shared" si="23"/>
        <v>49.5</v>
      </c>
      <c r="I163" s="96"/>
      <c r="J163" s="82"/>
      <c r="K163" s="101">
        <f t="shared" si="24"/>
        <v>0</v>
      </c>
      <c r="L163" s="100"/>
      <c r="M163" s="79" t="str">
        <f t="shared" si="25"/>
        <v/>
      </c>
      <c r="N163" s="102" t="str">
        <f t="shared" si="26"/>
        <v/>
      </c>
      <c r="O163" s="946"/>
      <c r="P163" s="947"/>
      <c r="Q163" s="948"/>
      <c r="R163" s="251"/>
    </row>
    <row r="164" spans="2:18">
      <c r="B164" s="220"/>
      <c r="C164" s="75" t="s">
        <v>304</v>
      </c>
      <c r="D164" s="76" t="s">
        <v>318</v>
      </c>
      <c r="E164" s="93" t="s">
        <v>178</v>
      </c>
      <c r="F164" s="227">
        <v>0</v>
      </c>
      <c r="G164" s="83">
        <v>2.2400000000000002</v>
      </c>
      <c r="H164" s="98">
        <f t="shared" si="23"/>
        <v>0</v>
      </c>
      <c r="I164" s="96"/>
      <c r="J164" s="82"/>
      <c r="K164" s="101">
        <f t="shared" si="24"/>
        <v>0</v>
      </c>
      <c r="L164" s="100"/>
      <c r="M164" s="79" t="str">
        <f t="shared" si="25"/>
        <v/>
      </c>
      <c r="N164" s="102" t="str">
        <f t="shared" si="26"/>
        <v/>
      </c>
      <c r="O164" s="946"/>
      <c r="P164" s="947"/>
      <c r="Q164" s="948"/>
      <c r="R164" s="251"/>
    </row>
    <row r="165" spans="2:18">
      <c r="B165" s="220"/>
      <c r="C165" s="75" t="s">
        <v>304</v>
      </c>
      <c r="D165" s="76" t="s">
        <v>317</v>
      </c>
      <c r="E165" s="93" t="s">
        <v>178</v>
      </c>
      <c r="F165" s="227">
        <v>6</v>
      </c>
      <c r="G165" s="83">
        <v>2.4</v>
      </c>
      <c r="H165" s="98">
        <f t="shared" si="23"/>
        <v>14.399999999999999</v>
      </c>
      <c r="I165" s="96"/>
      <c r="J165" s="82"/>
      <c r="K165" s="101">
        <f t="shared" si="24"/>
        <v>0</v>
      </c>
      <c r="L165" s="100"/>
      <c r="M165" s="79" t="str">
        <f t="shared" si="25"/>
        <v/>
      </c>
      <c r="N165" s="102" t="str">
        <f t="shared" si="26"/>
        <v/>
      </c>
      <c r="O165" s="946"/>
      <c r="P165" s="947"/>
      <c r="Q165" s="948"/>
      <c r="R165" s="251"/>
    </row>
    <row r="166" spans="2:18">
      <c r="B166" s="220"/>
      <c r="C166" s="75" t="s">
        <v>304</v>
      </c>
      <c r="D166" s="76" t="s">
        <v>319</v>
      </c>
      <c r="E166" s="93" t="s">
        <v>178</v>
      </c>
      <c r="F166" s="227">
        <v>5</v>
      </c>
      <c r="G166" s="83">
        <v>54</v>
      </c>
      <c r="H166" s="98">
        <f t="shared" si="23"/>
        <v>270</v>
      </c>
      <c r="I166" s="96"/>
      <c r="J166" s="82"/>
      <c r="K166" s="101">
        <f t="shared" si="24"/>
        <v>0</v>
      </c>
      <c r="L166" s="100"/>
      <c r="M166" s="79" t="str">
        <f t="shared" si="25"/>
        <v/>
      </c>
      <c r="N166" s="102" t="str">
        <f t="shared" si="26"/>
        <v/>
      </c>
      <c r="O166" s="946"/>
      <c r="P166" s="947"/>
      <c r="Q166" s="948"/>
      <c r="R166" s="251"/>
    </row>
    <row r="167" spans="2:18">
      <c r="B167" s="220"/>
      <c r="C167" s="75" t="s">
        <v>304</v>
      </c>
      <c r="D167" s="76" t="s">
        <v>320</v>
      </c>
      <c r="E167" s="93" t="s">
        <v>178</v>
      </c>
      <c r="F167" s="227">
        <v>5</v>
      </c>
      <c r="G167" s="83">
        <v>152</v>
      </c>
      <c r="H167" s="98">
        <f t="shared" si="23"/>
        <v>760</v>
      </c>
      <c r="I167" s="96"/>
      <c r="J167" s="82"/>
      <c r="K167" s="101">
        <f t="shared" si="24"/>
        <v>0</v>
      </c>
      <c r="L167" s="100"/>
      <c r="M167" s="79" t="str">
        <f t="shared" si="25"/>
        <v/>
      </c>
      <c r="N167" s="102" t="str">
        <f t="shared" si="26"/>
        <v/>
      </c>
      <c r="O167" s="946"/>
      <c r="P167" s="947"/>
      <c r="Q167" s="948"/>
      <c r="R167" s="251"/>
    </row>
    <row r="168" spans="2:18">
      <c r="B168" s="220"/>
      <c r="C168" s="75" t="s">
        <v>304</v>
      </c>
      <c r="D168" s="76" t="s">
        <v>314</v>
      </c>
      <c r="E168" s="93" t="s">
        <v>140</v>
      </c>
      <c r="F168" s="227">
        <v>52.46</v>
      </c>
      <c r="G168" s="83">
        <v>35</v>
      </c>
      <c r="H168" s="98">
        <f>(F168/3)*G168</f>
        <v>612.03333333333342</v>
      </c>
      <c r="I168" s="96"/>
      <c r="J168" s="82"/>
      <c r="K168" s="101">
        <f>(I168/3)*J168</f>
        <v>0</v>
      </c>
      <c r="L168" s="100"/>
      <c r="M168" s="79" t="str">
        <f t="shared" ref="M168" si="27">IF(L168="S",H168-K168,"")</f>
        <v/>
      </c>
      <c r="N168" s="102" t="str">
        <f t="shared" ref="N168" si="28">IF(L168="S",IF(M168&gt;0,"Poupou",IF(M168=0,"Planejado","Estourou")),"")</f>
        <v/>
      </c>
      <c r="O168" s="961" t="s">
        <v>1084</v>
      </c>
      <c r="P168" s="962"/>
      <c r="Q168" s="963"/>
      <c r="R168" s="251"/>
    </row>
    <row r="169" spans="2:18">
      <c r="B169" s="220"/>
      <c r="C169" s="75" t="s">
        <v>304</v>
      </c>
      <c r="D169" s="76" t="s">
        <v>321</v>
      </c>
      <c r="E169" s="93" t="s">
        <v>178</v>
      </c>
      <c r="F169" s="227">
        <v>6</v>
      </c>
      <c r="G169" s="83">
        <v>5.2</v>
      </c>
      <c r="H169" s="98">
        <f t="shared" ref="H169:H176" si="29">G169*F169</f>
        <v>31.200000000000003</v>
      </c>
      <c r="I169" s="96"/>
      <c r="J169" s="82"/>
      <c r="K169" s="101">
        <f t="shared" ref="K169:K176" si="30">I169*J169</f>
        <v>0</v>
      </c>
      <c r="L169" s="100"/>
      <c r="M169" s="79" t="str">
        <f t="shared" ref="M169:M176" si="31">IF(L169="S",H169-K169,"")</f>
        <v/>
      </c>
      <c r="N169" s="102" t="str">
        <f t="shared" ref="N169:N176" si="32">IF(L169="S",IF(M169&gt;0,"Poupou",IF(M169=0,"Planejado","Estourou")),"")</f>
        <v/>
      </c>
      <c r="O169" s="946"/>
      <c r="P169" s="947"/>
      <c r="Q169" s="948"/>
      <c r="R169" s="251"/>
    </row>
    <row r="170" spans="2:18">
      <c r="B170" s="220"/>
      <c r="C170" s="75" t="s">
        <v>304</v>
      </c>
      <c r="D170" s="76" t="s">
        <v>322</v>
      </c>
      <c r="E170" s="93" t="s">
        <v>178</v>
      </c>
      <c r="F170" s="227">
        <v>0</v>
      </c>
      <c r="G170" s="83">
        <v>8.4</v>
      </c>
      <c r="H170" s="98">
        <f t="shared" si="29"/>
        <v>0</v>
      </c>
      <c r="I170" s="96"/>
      <c r="J170" s="82"/>
      <c r="K170" s="101">
        <f t="shared" si="30"/>
        <v>0</v>
      </c>
      <c r="L170" s="100"/>
      <c r="M170" s="79" t="str">
        <f t="shared" si="31"/>
        <v/>
      </c>
      <c r="N170" s="102" t="str">
        <f t="shared" si="32"/>
        <v/>
      </c>
      <c r="O170" s="946"/>
      <c r="P170" s="947"/>
      <c r="Q170" s="948"/>
      <c r="R170" s="251"/>
    </row>
    <row r="171" spans="2:18">
      <c r="B171" s="220"/>
      <c r="C171" s="75" t="s">
        <v>304</v>
      </c>
      <c r="D171" s="76" t="s">
        <v>323</v>
      </c>
      <c r="E171" s="93" t="s">
        <v>178</v>
      </c>
      <c r="F171" s="227">
        <v>12</v>
      </c>
      <c r="G171" s="83">
        <v>8.6</v>
      </c>
      <c r="H171" s="98">
        <f t="shared" si="29"/>
        <v>103.19999999999999</v>
      </c>
      <c r="I171" s="96"/>
      <c r="J171" s="82"/>
      <c r="K171" s="101">
        <f t="shared" si="30"/>
        <v>0</v>
      </c>
      <c r="L171" s="100"/>
      <c r="M171" s="79" t="str">
        <f t="shared" si="31"/>
        <v/>
      </c>
      <c r="N171" s="102" t="str">
        <f t="shared" si="32"/>
        <v/>
      </c>
      <c r="O171" s="946"/>
      <c r="P171" s="947"/>
      <c r="Q171" s="948"/>
      <c r="R171" s="251"/>
    </row>
    <row r="172" spans="2:18">
      <c r="B172" s="220"/>
      <c r="C172" s="75" t="s">
        <v>304</v>
      </c>
      <c r="D172" s="76" t="s">
        <v>324</v>
      </c>
      <c r="E172" s="93" t="s">
        <v>178</v>
      </c>
      <c r="F172" s="227">
        <v>1</v>
      </c>
      <c r="G172" s="83">
        <v>60</v>
      </c>
      <c r="H172" s="98">
        <f t="shared" si="29"/>
        <v>60</v>
      </c>
      <c r="I172" s="96"/>
      <c r="J172" s="82"/>
      <c r="K172" s="101">
        <f t="shared" si="30"/>
        <v>0</v>
      </c>
      <c r="L172" s="100"/>
      <c r="M172" s="79" t="str">
        <f t="shared" si="31"/>
        <v/>
      </c>
      <c r="N172" s="102" t="str">
        <f t="shared" si="32"/>
        <v/>
      </c>
      <c r="O172" s="946"/>
      <c r="P172" s="947"/>
      <c r="Q172" s="948"/>
      <c r="R172" s="251"/>
    </row>
    <row r="173" spans="2:18">
      <c r="B173" s="220"/>
      <c r="C173" s="75" t="s">
        <v>304</v>
      </c>
      <c r="D173" s="76" t="s">
        <v>315</v>
      </c>
      <c r="E173" s="93" t="s">
        <v>140</v>
      </c>
      <c r="F173" s="227">
        <v>19.39</v>
      </c>
      <c r="G173" s="83">
        <v>91.2</v>
      </c>
      <c r="H173" s="98">
        <f>(F173/3)*G173</f>
        <v>589.45600000000002</v>
      </c>
      <c r="I173" s="96"/>
      <c r="J173" s="82"/>
      <c r="K173" s="101">
        <f>(I173/3)*J173</f>
        <v>0</v>
      </c>
      <c r="L173" s="100"/>
      <c r="M173" s="79" t="str">
        <f t="shared" si="31"/>
        <v/>
      </c>
      <c r="N173" s="102" t="str">
        <f t="shared" si="32"/>
        <v/>
      </c>
      <c r="O173" s="961" t="s">
        <v>1084</v>
      </c>
      <c r="P173" s="962"/>
      <c r="Q173" s="963"/>
      <c r="R173" s="251"/>
    </row>
    <row r="174" spans="2:18">
      <c r="B174" s="220"/>
      <c r="C174" s="75" t="s">
        <v>304</v>
      </c>
      <c r="D174" s="76" t="s">
        <v>325</v>
      </c>
      <c r="E174" s="93" t="s">
        <v>178</v>
      </c>
      <c r="F174" s="227">
        <v>1</v>
      </c>
      <c r="G174" s="83">
        <v>10.199999999999999</v>
      </c>
      <c r="H174" s="98">
        <f t="shared" si="29"/>
        <v>10.199999999999999</v>
      </c>
      <c r="I174" s="96"/>
      <c r="J174" s="82"/>
      <c r="K174" s="101">
        <f t="shared" si="30"/>
        <v>0</v>
      </c>
      <c r="L174" s="100"/>
      <c r="M174" s="79" t="str">
        <f t="shared" si="31"/>
        <v/>
      </c>
      <c r="N174" s="102" t="str">
        <f t="shared" si="32"/>
        <v/>
      </c>
      <c r="O174" s="946"/>
      <c r="P174" s="947"/>
      <c r="Q174" s="948"/>
      <c r="R174" s="251"/>
    </row>
    <row r="175" spans="2:18">
      <c r="B175" s="220"/>
      <c r="C175" s="75" t="s">
        <v>304</v>
      </c>
      <c r="D175" s="76" t="s">
        <v>326</v>
      </c>
      <c r="E175" s="93" t="s">
        <v>178</v>
      </c>
      <c r="F175" s="227">
        <v>0</v>
      </c>
      <c r="G175" s="83">
        <v>14.3</v>
      </c>
      <c r="H175" s="98">
        <f t="shared" si="29"/>
        <v>0</v>
      </c>
      <c r="I175" s="96"/>
      <c r="J175" s="82"/>
      <c r="K175" s="101">
        <f t="shared" si="30"/>
        <v>0</v>
      </c>
      <c r="L175" s="100"/>
      <c r="M175" s="79" t="str">
        <f t="shared" si="31"/>
        <v/>
      </c>
      <c r="N175" s="102" t="str">
        <f t="shared" si="32"/>
        <v/>
      </c>
      <c r="O175" s="946"/>
      <c r="P175" s="947"/>
      <c r="Q175" s="948"/>
      <c r="R175" s="251"/>
    </row>
    <row r="176" spans="2:18">
      <c r="B176" s="220"/>
      <c r="C176" s="75" t="s">
        <v>304</v>
      </c>
      <c r="D176" s="76" t="s">
        <v>327</v>
      </c>
      <c r="E176" s="93" t="s">
        <v>178</v>
      </c>
      <c r="F176" s="227">
        <v>0</v>
      </c>
      <c r="G176" s="83">
        <v>26.3</v>
      </c>
      <c r="H176" s="98">
        <f t="shared" si="29"/>
        <v>0</v>
      </c>
      <c r="I176" s="96"/>
      <c r="J176" s="82"/>
      <c r="K176" s="101">
        <f t="shared" si="30"/>
        <v>0</v>
      </c>
      <c r="L176" s="100"/>
      <c r="M176" s="79" t="str">
        <f t="shared" si="31"/>
        <v/>
      </c>
      <c r="N176" s="102" t="str">
        <f t="shared" si="32"/>
        <v/>
      </c>
      <c r="O176" s="946"/>
      <c r="P176" s="947"/>
      <c r="Q176" s="948"/>
      <c r="R176" s="251"/>
    </row>
    <row r="177" spans="2:18">
      <c r="B177" s="220"/>
      <c r="C177" s="75" t="s">
        <v>304</v>
      </c>
      <c r="D177" s="76" t="s">
        <v>328</v>
      </c>
      <c r="E177" s="93" t="s">
        <v>178</v>
      </c>
      <c r="F177" s="227">
        <v>0</v>
      </c>
      <c r="G177" s="83">
        <v>90</v>
      </c>
      <c r="H177" s="98">
        <f t="shared" ref="H177" si="33">G177*F177</f>
        <v>0</v>
      </c>
      <c r="I177" s="96"/>
      <c r="J177" s="82"/>
      <c r="K177" s="101">
        <f t="shared" ref="K177" si="34">I177*J177</f>
        <v>0</v>
      </c>
      <c r="L177" s="100"/>
      <c r="M177" s="79" t="str">
        <f t="shared" ref="M177" si="35">IF(L177="S",H177-K177,"")</f>
        <v/>
      </c>
      <c r="N177" s="102" t="str">
        <f t="shared" ref="N177" si="36">IF(L177="S",IF(M177&gt;0,"Poupou",IF(M177=0,"Planejado","Estourou")),"")</f>
        <v/>
      </c>
      <c r="O177" s="946"/>
      <c r="P177" s="947"/>
      <c r="Q177" s="948"/>
      <c r="R177" s="251"/>
    </row>
    <row r="178" spans="2:18">
      <c r="B178" s="220"/>
      <c r="C178" s="75" t="s">
        <v>304</v>
      </c>
      <c r="D178" s="76" t="s">
        <v>329</v>
      </c>
      <c r="E178" s="93" t="s">
        <v>178</v>
      </c>
      <c r="F178" s="227">
        <v>0</v>
      </c>
      <c r="G178" s="83">
        <v>2.4</v>
      </c>
      <c r="H178" s="98">
        <f t="shared" ref="H178" si="37">G178*F178</f>
        <v>0</v>
      </c>
      <c r="I178" s="96"/>
      <c r="J178" s="82"/>
      <c r="K178" s="101">
        <f t="shared" ref="K178" si="38">I178*J178</f>
        <v>0</v>
      </c>
      <c r="L178" s="100"/>
      <c r="M178" s="79" t="str">
        <f t="shared" ref="M178" si="39">IF(L178="S",H178-K178,"")</f>
        <v/>
      </c>
      <c r="N178" s="102" t="str">
        <f t="shared" ref="N178" si="40">IF(L178="S",IF(M178&gt;0,"Poupou",IF(M178=0,"Planejado","Estourou")),"")</f>
        <v/>
      </c>
      <c r="O178" s="946"/>
      <c r="P178" s="947"/>
      <c r="Q178" s="948"/>
      <c r="R178" s="251"/>
    </row>
    <row r="179" spans="2:18">
      <c r="B179" s="220"/>
      <c r="C179" s="75" t="s">
        <v>304</v>
      </c>
      <c r="D179" s="76" t="s">
        <v>330</v>
      </c>
      <c r="E179" s="93" t="s">
        <v>178</v>
      </c>
      <c r="F179" s="227">
        <v>5</v>
      </c>
      <c r="G179" s="83">
        <v>6.8</v>
      </c>
      <c r="H179" s="98">
        <f t="shared" ref="H179:H188" si="41">G179*F179</f>
        <v>34</v>
      </c>
      <c r="I179" s="96"/>
      <c r="J179" s="82"/>
      <c r="K179" s="101">
        <f t="shared" ref="K179:K188" si="42">I179*J179</f>
        <v>0</v>
      </c>
      <c r="L179" s="100"/>
      <c r="M179" s="79" t="str">
        <f t="shared" ref="M179:M188" si="43">IF(L179="S",H179-K179,"")</f>
        <v/>
      </c>
      <c r="N179" s="102" t="str">
        <f t="shared" ref="N179:N188" si="44">IF(L179="S",IF(M179&gt;0,"Poupou",IF(M179=0,"Planejado","Estourou")),"")</f>
        <v/>
      </c>
      <c r="O179" s="946"/>
      <c r="P179" s="947"/>
      <c r="Q179" s="948"/>
      <c r="R179" s="251"/>
    </row>
    <row r="180" spans="2:18">
      <c r="B180" s="220"/>
      <c r="C180" s="75" t="s">
        <v>304</v>
      </c>
      <c r="D180" s="76" t="s">
        <v>1086</v>
      </c>
      <c r="E180" s="93" t="s">
        <v>178</v>
      </c>
      <c r="F180" s="227">
        <v>0</v>
      </c>
      <c r="G180" s="83">
        <v>14.6</v>
      </c>
      <c r="H180" s="98">
        <f t="shared" si="41"/>
        <v>0</v>
      </c>
      <c r="I180" s="96"/>
      <c r="J180" s="82"/>
      <c r="K180" s="101">
        <f t="shared" si="42"/>
        <v>0</v>
      </c>
      <c r="L180" s="100"/>
      <c r="M180" s="79" t="str">
        <f t="shared" si="43"/>
        <v/>
      </c>
      <c r="N180" s="102" t="str">
        <f t="shared" si="44"/>
        <v/>
      </c>
      <c r="O180" s="841"/>
      <c r="P180" s="842"/>
      <c r="Q180" s="843"/>
      <c r="R180" s="251"/>
    </row>
    <row r="181" spans="2:18">
      <c r="B181" s="220"/>
      <c r="C181" s="75" t="s">
        <v>304</v>
      </c>
      <c r="D181" s="76" t="s">
        <v>1087</v>
      </c>
      <c r="E181" s="93" t="s">
        <v>178</v>
      </c>
      <c r="F181" s="227">
        <v>0</v>
      </c>
      <c r="G181" s="83">
        <v>24.6</v>
      </c>
      <c r="H181" s="98">
        <f t="shared" si="41"/>
        <v>0</v>
      </c>
      <c r="I181" s="96"/>
      <c r="J181" s="82"/>
      <c r="K181" s="101">
        <f t="shared" si="42"/>
        <v>0</v>
      </c>
      <c r="L181" s="100"/>
      <c r="M181" s="79" t="str">
        <f t="shared" si="43"/>
        <v/>
      </c>
      <c r="N181" s="102" t="str">
        <f t="shared" si="44"/>
        <v/>
      </c>
      <c r="O181" s="841"/>
      <c r="P181" s="842"/>
      <c r="Q181" s="843"/>
      <c r="R181" s="251"/>
    </row>
    <row r="182" spans="2:18">
      <c r="B182" s="220"/>
      <c r="C182" s="75" t="s">
        <v>304</v>
      </c>
      <c r="D182" s="76" t="s">
        <v>1088</v>
      </c>
      <c r="E182" s="93" t="s">
        <v>178</v>
      </c>
      <c r="F182" s="227">
        <v>0</v>
      </c>
      <c r="G182" s="83">
        <v>18.2</v>
      </c>
      <c r="H182" s="98">
        <f t="shared" si="41"/>
        <v>0</v>
      </c>
      <c r="I182" s="96"/>
      <c r="J182" s="82"/>
      <c r="K182" s="101">
        <f t="shared" si="42"/>
        <v>0</v>
      </c>
      <c r="L182" s="100"/>
      <c r="M182" s="79" t="str">
        <f t="shared" si="43"/>
        <v/>
      </c>
      <c r="N182" s="102" t="str">
        <f t="shared" si="44"/>
        <v/>
      </c>
      <c r="O182" s="841"/>
      <c r="P182" s="842"/>
      <c r="Q182" s="843"/>
      <c r="R182" s="251"/>
    </row>
    <row r="183" spans="2:18">
      <c r="B183" s="220"/>
      <c r="C183" s="75" t="s">
        <v>304</v>
      </c>
      <c r="D183" s="76" t="s">
        <v>1089</v>
      </c>
      <c r="E183" s="93" t="s">
        <v>178</v>
      </c>
      <c r="F183" s="227">
        <v>9</v>
      </c>
      <c r="G183" s="83">
        <v>10.199999999999999</v>
      </c>
      <c r="H183" s="98">
        <f t="shared" si="41"/>
        <v>91.8</v>
      </c>
      <c r="I183" s="96"/>
      <c r="J183" s="82"/>
      <c r="K183" s="101">
        <f t="shared" si="42"/>
        <v>0</v>
      </c>
      <c r="L183" s="100"/>
      <c r="M183" s="79" t="str">
        <f t="shared" si="43"/>
        <v/>
      </c>
      <c r="N183" s="102" t="str">
        <f t="shared" si="44"/>
        <v/>
      </c>
      <c r="O183" s="841"/>
      <c r="P183" s="842"/>
      <c r="Q183" s="843"/>
      <c r="R183" s="251"/>
    </row>
    <row r="184" spans="2:18">
      <c r="B184" s="220"/>
      <c r="C184" s="75" t="s">
        <v>304</v>
      </c>
      <c r="D184" s="76" t="s">
        <v>1097</v>
      </c>
      <c r="E184" s="93" t="s">
        <v>178</v>
      </c>
      <c r="F184" s="227">
        <f>F162/3</f>
        <v>34.776666666666664</v>
      </c>
      <c r="G184" s="83">
        <v>1.8</v>
      </c>
      <c r="H184" s="98">
        <f t="shared" si="41"/>
        <v>62.597999999999999</v>
      </c>
      <c r="I184" s="96"/>
      <c r="J184" s="82"/>
      <c r="K184" s="101">
        <f t="shared" si="42"/>
        <v>0</v>
      </c>
      <c r="L184" s="100"/>
      <c r="M184" s="79" t="str">
        <f t="shared" si="43"/>
        <v/>
      </c>
      <c r="N184" s="102" t="str">
        <f t="shared" si="44"/>
        <v/>
      </c>
      <c r="O184" s="946"/>
      <c r="P184" s="947"/>
      <c r="Q184" s="948"/>
      <c r="R184" s="251"/>
    </row>
    <row r="185" spans="2:18">
      <c r="B185" s="220"/>
      <c r="C185" s="75" t="s">
        <v>304</v>
      </c>
      <c r="D185" s="76" t="s">
        <v>1096</v>
      </c>
      <c r="E185" s="93" t="s">
        <v>178</v>
      </c>
      <c r="F185" s="227">
        <f>F168/3</f>
        <v>17.486666666666668</v>
      </c>
      <c r="G185" s="83">
        <v>3.8</v>
      </c>
      <c r="H185" s="98">
        <f t="shared" si="41"/>
        <v>66.449333333333342</v>
      </c>
      <c r="I185" s="96"/>
      <c r="J185" s="82"/>
      <c r="K185" s="101">
        <f t="shared" si="42"/>
        <v>0</v>
      </c>
      <c r="L185" s="100"/>
      <c r="M185" s="79" t="str">
        <f t="shared" si="43"/>
        <v/>
      </c>
      <c r="N185" s="102" t="str">
        <f t="shared" si="44"/>
        <v/>
      </c>
      <c r="O185" s="946"/>
      <c r="P185" s="947"/>
      <c r="Q185" s="948"/>
      <c r="R185" s="251"/>
    </row>
    <row r="186" spans="2:18">
      <c r="B186" s="220"/>
      <c r="C186" s="75" t="s">
        <v>304</v>
      </c>
      <c r="D186" s="76" t="s">
        <v>1095</v>
      </c>
      <c r="E186" s="93" t="s">
        <v>178</v>
      </c>
      <c r="F186" s="227">
        <f>F173/3</f>
        <v>6.4633333333333338</v>
      </c>
      <c r="G186" s="83">
        <v>9.1999999999999993</v>
      </c>
      <c r="H186" s="98">
        <f t="shared" si="41"/>
        <v>59.462666666666664</v>
      </c>
      <c r="I186" s="96"/>
      <c r="J186" s="82"/>
      <c r="K186" s="101">
        <f t="shared" si="42"/>
        <v>0</v>
      </c>
      <c r="L186" s="100"/>
      <c r="M186" s="79" t="str">
        <f t="shared" si="43"/>
        <v/>
      </c>
      <c r="N186" s="102" t="str">
        <f t="shared" si="44"/>
        <v/>
      </c>
      <c r="O186" s="946"/>
      <c r="P186" s="947"/>
      <c r="Q186" s="948"/>
      <c r="R186" s="251"/>
    </row>
    <row r="187" spans="2:18">
      <c r="B187" s="220"/>
      <c r="C187" s="75" t="s">
        <v>304</v>
      </c>
      <c r="D187" s="76" t="s">
        <v>331</v>
      </c>
      <c r="E187" s="93" t="s">
        <v>178</v>
      </c>
      <c r="F187" s="227">
        <f>F96</f>
        <v>5</v>
      </c>
      <c r="G187" s="83">
        <v>6</v>
      </c>
      <c r="H187" s="98">
        <f t="shared" si="41"/>
        <v>30</v>
      </c>
      <c r="I187" s="96"/>
      <c r="J187" s="82"/>
      <c r="K187" s="101">
        <f t="shared" si="42"/>
        <v>0</v>
      </c>
      <c r="L187" s="100"/>
      <c r="M187" s="79" t="str">
        <f t="shared" si="43"/>
        <v/>
      </c>
      <c r="N187" s="102" t="str">
        <f t="shared" si="44"/>
        <v/>
      </c>
      <c r="O187" s="961" t="s">
        <v>212</v>
      </c>
      <c r="P187" s="962"/>
      <c r="Q187" s="963"/>
      <c r="R187" s="251"/>
    </row>
    <row r="188" spans="2:18">
      <c r="B188" s="220"/>
      <c r="C188" s="75" t="s">
        <v>304</v>
      </c>
      <c r="D188" s="76" t="s">
        <v>336</v>
      </c>
      <c r="E188" s="93" t="s">
        <v>178</v>
      </c>
      <c r="F188" s="227">
        <f>'LISTA MATERIAIS'!F95+'LISTA MATERIAIS'!F94+'LISTA MATERIAIS'!F93</f>
        <v>9</v>
      </c>
      <c r="G188" s="83">
        <v>4.4000000000000004</v>
      </c>
      <c r="H188" s="98">
        <f t="shared" si="41"/>
        <v>39.6</v>
      </c>
      <c r="I188" s="96"/>
      <c r="J188" s="82"/>
      <c r="K188" s="101">
        <f t="shared" si="42"/>
        <v>0</v>
      </c>
      <c r="L188" s="100"/>
      <c r="M188" s="79" t="str">
        <f t="shared" si="43"/>
        <v/>
      </c>
      <c r="N188" s="102" t="str">
        <f t="shared" si="44"/>
        <v/>
      </c>
      <c r="O188" s="961" t="s">
        <v>337</v>
      </c>
      <c r="P188" s="962"/>
      <c r="Q188" s="963"/>
      <c r="R188" s="251"/>
    </row>
    <row r="189" spans="2:18">
      <c r="B189" s="220"/>
      <c r="C189" s="75" t="s">
        <v>304</v>
      </c>
      <c r="D189" s="76" t="s">
        <v>332</v>
      </c>
      <c r="E189" s="93" t="s">
        <v>178</v>
      </c>
      <c r="F189" s="227">
        <f>DADOS!F13+DADOS!F14</f>
        <v>5</v>
      </c>
      <c r="G189" s="83">
        <v>18</v>
      </c>
      <c r="H189" s="98">
        <f t="shared" ref="H189" si="45">G189*F189</f>
        <v>90</v>
      </c>
      <c r="I189" s="96"/>
      <c r="J189" s="82"/>
      <c r="K189" s="101">
        <f t="shared" ref="K189" si="46">I189*J189</f>
        <v>0</v>
      </c>
      <c r="L189" s="100"/>
      <c r="M189" s="79" t="str">
        <f t="shared" ref="M189" si="47">IF(L189="S",H189-K189,"")</f>
        <v/>
      </c>
      <c r="N189" s="102" t="str">
        <f t="shared" ref="N189" si="48">IF(L189="S",IF(M189&gt;0,"Poupou",IF(M189=0,"Planejado","Estourou")),"")</f>
        <v/>
      </c>
      <c r="O189" s="961" t="s">
        <v>335</v>
      </c>
      <c r="P189" s="962"/>
      <c r="Q189" s="963"/>
      <c r="R189" s="251"/>
    </row>
    <row r="190" spans="2:18">
      <c r="B190" s="220"/>
      <c r="C190" s="75" t="s">
        <v>304</v>
      </c>
      <c r="D190" s="76" t="s">
        <v>333</v>
      </c>
      <c r="E190" s="93" t="s">
        <v>178</v>
      </c>
      <c r="F190" s="227">
        <f>DADOS!F13+DADOS!F14</f>
        <v>5</v>
      </c>
      <c r="G190" s="83">
        <v>310</v>
      </c>
      <c r="H190" s="98">
        <f t="shared" ref="H190:H192" si="49">G190*F190</f>
        <v>1550</v>
      </c>
      <c r="I190" s="96"/>
      <c r="J190" s="82"/>
      <c r="K190" s="101">
        <f t="shared" ref="K190:K192" si="50">I190*J190</f>
        <v>0</v>
      </c>
      <c r="L190" s="100"/>
      <c r="M190" s="79" t="str">
        <f t="shared" ref="M190:M192" si="51">IF(L190="S",H190-K190,"")</f>
        <v/>
      </c>
      <c r="N190" s="102" t="str">
        <f t="shared" ref="N190:N192" si="52">IF(L190="S",IF(M190&gt;0,"Poupou",IF(M190=0,"Planejado","Estourou")),"")</f>
        <v/>
      </c>
      <c r="O190" s="961" t="s">
        <v>335</v>
      </c>
      <c r="P190" s="962"/>
      <c r="Q190" s="963"/>
      <c r="R190" s="251"/>
    </row>
    <row r="191" spans="2:18">
      <c r="B191" s="220"/>
      <c r="C191" s="75" t="s">
        <v>304</v>
      </c>
      <c r="D191" s="76" t="s">
        <v>334</v>
      </c>
      <c r="E191" s="93" t="s">
        <v>178</v>
      </c>
      <c r="F191" s="227">
        <f>F190</f>
        <v>5</v>
      </c>
      <c r="G191" s="83">
        <v>9.1999999999999993</v>
      </c>
      <c r="H191" s="98">
        <f t="shared" si="49"/>
        <v>46</v>
      </c>
      <c r="I191" s="96"/>
      <c r="J191" s="82"/>
      <c r="K191" s="101">
        <f t="shared" si="50"/>
        <v>0</v>
      </c>
      <c r="L191" s="100"/>
      <c r="M191" s="79" t="str">
        <f t="shared" si="51"/>
        <v/>
      </c>
      <c r="N191" s="102" t="str">
        <f t="shared" si="52"/>
        <v/>
      </c>
      <c r="O191" s="961" t="s">
        <v>335</v>
      </c>
      <c r="P191" s="962"/>
      <c r="Q191" s="963"/>
      <c r="R191" s="251"/>
    </row>
    <row r="192" spans="2:18">
      <c r="B192" s="220"/>
      <c r="C192" s="75" t="s">
        <v>304</v>
      </c>
      <c r="D192" s="76" t="s">
        <v>1085</v>
      </c>
      <c r="E192" s="93" t="s">
        <v>338</v>
      </c>
      <c r="F192" s="227">
        <f>(F94*2)+(F93*2)</f>
        <v>16</v>
      </c>
      <c r="G192" s="83">
        <v>1.9</v>
      </c>
      <c r="H192" s="98">
        <f t="shared" si="49"/>
        <v>30.4</v>
      </c>
      <c r="I192" s="96"/>
      <c r="J192" s="82"/>
      <c r="K192" s="101">
        <f t="shared" si="50"/>
        <v>0</v>
      </c>
      <c r="L192" s="100"/>
      <c r="M192" s="79" t="str">
        <f t="shared" si="51"/>
        <v/>
      </c>
      <c r="N192" s="102" t="str">
        <f t="shared" si="52"/>
        <v/>
      </c>
      <c r="O192" s="961" t="s">
        <v>354</v>
      </c>
      <c r="P192" s="962"/>
      <c r="Q192" s="963"/>
      <c r="R192" s="251"/>
    </row>
    <row r="193" spans="2:18">
      <c r="B193" s="220"/>
      <c r="C193" s="75" t="s">
        <v>304</v>
      </c>
      <c r="D193" s="76" t="s">
        <v>339</v>
      </c>
      <c r="E193" s="93" t="s">
        <v>178</v>
      </c>
      <c r="F193" s="227">
        <f>F93+F94</f>
        <v>8</v>
      </c>
      <c r="G193" s="83">
        <v>100</v>
      </c>
      <c r="H193" s="98">
        <f t="shared" ref="H193" si="53">G193*F193</f>
        <v>800</v>
      </c>
      <c r="I193" s="96"/>
      <c r="J193" s="82"/>
      <c r="K193" s="101">
        <f t="shared" ref="K193" si="54">I193*J193</f>
        <v>0</v>
      </c>
      <c r="L193" s="100"/>
      <c r="M193" s="79" t="str">
        <f t="shared" ref="M193" si="55">IF(L193="S",H193-K193,"")</f>
        <v/>
      </c>
      <c r="N193" s="102" t="str">
        <f t="shared" ref="N193" si="56">IF(L193="S",IF(M193&gt;0,"Poupou",IF(M193=0,"Planejado","Estourou")),"")</f>
        <v/>
      </c>
      <c r="O193" s="961" t="s">
        <v>354</v>
      </c>
      <c r="P193" s="962"/>
      <c r="Q193" s="963"/>
      <c r="R193" s="251"/>
    </row>
    <row r="194" spans="2:18">
      <c r="B194" s="220"/>
      <c r="C194" s="75" t="s">
        <v>304</v>
      </c>
      <c r="D194" s="76" t="s">
        <v>1122</v>
      </c>
      <c r="E194" s="93" t="s">
        <v>178</v>
      </c>
      <c r="F194" s="227">
        <v>0</v>
      </c>
      <c r="G194" s="83">
        <v>15</v>
      </c>
      <c r="H194" s="98">
        <f t="shared" ref="H194:H197" si="57">G194*F194</f>
        <v>0</v>
      </c>
      <c r="I194" s="96"/>
      <c r="J194" s="82"/>
      <c r="K194" s="101">
        <f t="shared" ref="K194:K197" si="58">I194*J194</f>
        <v>0</v>
      </c>
      <c r="L194" s="100"/>
      <c r="M194" s="79" t="str">
        <f t="shared" ref="M194:M197" si="59">IF(L194="S",H194-K194,"")</f>
        <v/>
      </c>
      <c r="N194" s="102" t="str">
        <f t="shared" ref="N194:N197" si="60">IF(L194="S",IF(M194&gt;0,"Poupou",IF(M194=0,"Planejado","Estourou")),"")</f>
        <v/>
      </c>
      <c r="O194" s="946"/>
      <c r="P194" s="947"/>
      <c r="Q194" s="948"/>
      <c r="R194" s="251"/>
    </row>
    <row r="195" spans="2:18">
      <c r="B195" s="220"/>
      <c r="C195" s="75" t="s">
        <v>304</v>
      </c>
      <c r="D195" s="76"/>
      <c r="E195" s="93"/>
      <c r="F195" s="227"/>
      <c r="G195" s="83"/>
      <c r="H195" s="98">
        <f t="shared" si="57"/>
        <v>0</v>
      </c>
      <c r="I195" s="96"/>
      <c r="J195" s="82"/>
      <c r="K195" s="101">
        <f t="shared" si="58"/>
        <v>0</v>
      </c>
      <c r="L195" s="100"/>
      <c r="M195" s="79" t="str">
        <f t="shared" si="59"/>
        <v/>
      </c>
      <c r="N195" s="102" t="str">
        <f t="shared" si="60"/>
        <v/>
      </c>
      <c r="O195" s="946"/>
      <c r="P195" s="947"/>
      <c r="Q195" s="948"/>
      <c r="R195" s="251"/>
    </row>
    <row r="196" spans="2:18">
      <c r="B196" s="220"/>
      <c r="C196" s="75" t="s">
        <v>304</v>
      </c>
      <c r="D196" s="76"/>
      <c r="E196" s="93"/>
      <c r="F196" s="227"/>
      <c r="G196" s="83"/>
      <c r="H196" s="98">
        <f t="shared" si="57"/>
        <v>0</v>
      </c>
      <c r="I196" s="96"/>
      <c r="J196" s="82"/>
      <c r="K196" s="101">
        <f t="shared" si="58"/>
        <v>0</v>
      </c>
      <c r="L196" s="100"/>
      <c r="M196" s="79" t="str">
        <f t="shared" si="59"/>
        <v/>
      </c>
      <c r="N196" s="102" t="str">
        <f t="shared" si="60"/>
        <v/>
      </c>
      <c r="O196" s="946"/>
      <c r="P196" s="947"/>
      <c r="Q196" s="948"/>
      <c r="R196" s="251"/>
    </row>
    <row r="197" spans="2:18">
      <c r="B197" s="220"/>
      <c r="C197" s="75" t="s">
        <v>304</v>
      </c>
      <c r="D197" s="76"/>
      <c r="E197" s="93"/>
      <c r="F197" s="227"/>
      <c r="G197" s="83"/>
      <c r="H197" s="98">
        <f t="shared" si="57"/>
        <v>0</v>
      </c>
      <c r="I197" s="96"/>
      <c r="J197" s="82"/>
      <c r="K197" s="101">
        <f t="shared" si="58"/>
        <v>0</v>
      </c>
      <c r="L197" s="100"/>
      <c r="M197" s="79" t="str">
        <f t="shared" si="59"/>
        <v/>
      </c>
      <c r="N197" s="102" t="str">
        <f t="shared" si="60"/>
        <v/>
      </c>
      <c r="O197" s="946"/>
      <c r="P197" s="947"/>
      <c r="Q197" s="948"/>
      <c r="R197" s="251"/>
    </row>
    <row r="198" spans="2:18">
      <c r="B198" s="220"/>
      <c r="C198" s="75" t="s">
        <v>304</v>
      </c>
      <c r="D198" s="964" t="s">
        <v>341</v>
      </c>
      <c r="E198" s="965"/>
      <c r="F198" s="965"/>
      <c r="G198" s="965"/>
      <c r="H198" s="965"/>
      <c r="I198" s="965"/>
      <c r="J198" s="965"/>
      <c r="K198" s="965"/>
      <c r="L198" s="965"/>
      <c r="M198" s="965"/>
      <c r="N198" s="965"/>
      <c r="O198" s="965"/>
      <c r="P198" s="965"/>
      <c r="Q198" s="966"/>
      <c r="R198" s="251"/>
    </row>
    <row r="199" spans="2:18">
      <c r="B199" s="220"/>
      <c r="C199" s="75" t="s">
        <v>304</v>
      </c>
      <c r="D199" s="76" t="s">
        <v>1099</v>
      </c>
      <c r="E199" s="93" t="s">
        <v>338</v>
      </c>
      <c r="F199" s="227">
        <v>1</v>
      </c>
      <c r="G199" s="83">
        <v>2000</v>
      </c>
      <c r="H199" s="98">
        <f t="shared" ref="H199:H212" si="61">G199*F199</f>
        <v>2000</v>
      </c>
      <c r="I199" s="96"/>
      <c r="J199" s="82"/>
      <c r="K199" s="101">
        <f t="shared" ref="K199:K212" si="62">I199*J199</f>
        <v>0</v>
      </c>
      <c r="L199" s="100"/>
      <c r="M199" s="79" t="str">
        <f t="shared" ref="M199:M212" si="63">IF(L199="S",H199-K199,"")</f>
        <v/>
      </c>
      <c r="N199" s="102" t="str">
        <f t="shared" ref="N199:N212" si="64">IF(L199="S",IF(M199&gt;0,"Poupou",IF(M199=0,"Planejado","Estourou")),"")</f>
        <v/>
      </c>
      <c r="O199" s="961" t="s">
        <v>1104</v>
      </c>
      <c r="P199" s="962"/>
      <c r="Q199" s="963"/>
      <c r="R199" s="251"/>
    </row>
    <row r="200" spans="2:18">
      <c r="B200" s="220"/>
      <c r="C200" s="75" t="s">
        <v>304</v>
      </c>
      <c r="D200" s="76" t="s">
        <v>342</v>
      </c>
      <c r="E200" s="93" t="s">
        <v>140</v>
      </c>
      <c r="F200" s="227">
        <v>61.24</v>
      </c>
      <c r="G200" s="83">
        <v>190</v>
      </c>
      <c r="H200" s="98">
        <f>(F200/2.5)*G200</f>
        <v>4654.2400000000007</v>
      </c>
      <c r="I200" s="96"/>
      <c r="J200" s="82"/>
      <c r="K200" s="101">
        <f t="shared" si="62"/>
        <v>0</v>
      </c>
      <c r="L200" s="100"/>
      <c r="M200" s="79" t="str">
        <f t="shared" si="63"/>
        <v/>
      </c>
      <c r="N200" s="102" t="str">
        <f t="shared" si="64"/>
        <v/>
      </c>
      <c r="O200" s="961" t="s">
        <v>1094</v>
      </c>
      <c r="P200" s="962"/>
      <c r="Q200" s="963"/>
      <c r="R200" s="251"/>
    </row>
    <row r="201" spans="2:18">
      <c r="B201" s="220"/>
      <c r="C201" s="75" t="s">
        <v>304</v>
      </c>
      <c r="D201" s="76" t="s">
        <v>343</v>
      </c>
      <c r="E201" s="93" t="s">
        <v>178</v>
      </c>
      <c r="F201" s="227">
        <v>21</v>
      </c>
      <c r="G201" s="83">
        <v>22</v>
      </c>
      <c r="H201" s="98">
        <f t="shared" si="61"/>
        <v>462</v>
      </c>
      <c r="I201" s="96"/>
      <c r="J201" s="82"/>
      <c r="K201" s="101">
        <f t="shared" si="62"/>
        <v>0</v>
      </c>
      <c r="L201" s="100"/>
      <c r="M201" s="79" t="str">
        <f t="shared" si="63"/>
        <v/>
      </c>
      <c r="N201" s="102" t="str">
        <f t="shared" si="64"/>
        <v/>
      </c>
      <c r="O201" s="946"/>
      <c r="P201" s="947"/>
      <c r="Q201" s="948"/>
      <c r="R201" s="251"/>
    </row>
    <row r="202" spans="2:18">
      <c r="B202" s="220"/>
      <c r="C202" s="75" t="s">
        <v>304</v>
      </c>
      <c r="D202" s="76" t="s">
        <v>344</v>
      </c>
      <c r="E202" s="93" t="s">
        <v>178</v>
      </c>
      <c r="F202" s="227">
        <v>0</v>
      </c>
      <c r="G202" s="83">
        <v>22</v>
      </c>
      <c r="H202" s="98">
        <f t="shared" si="61"/>
        <v>0</v>
      </c>
      <c r="I202" s="96"/>
      <c r="J202" s="82"/>
      <c r="K202" s="101">
        <f t="shared" si="62"/>
        <v>0</v>
      </c>
      <c r="L202" s="100"/>
      <c r="M202" s="79" t="str">
        <f t="shared" si="63"/>
        <v/>
      </c>
      <c r="N202" s="102" t="str">
        <f t="shared" si="64"/>
        <v/>
      </c>
      <c r="O202" s="946"/>
      <c r="P202" s="947"/>
      <c r="Q202" s="948"/>
      <c r="R202" s="251"/>
    </row>
    <row r="203" spans="2:18">
      <c r="B203" s="220"/>
      <c r="C203" s="75" t="s">
        <v>304</v>
      </c>
      <c r="D203" s="76" t="s">
        <v>345</v>
      </c>
      <c r="E203" s="93" t="s">
        <v>178</v>
      </c>
      <c r="F203" s="227">
        <v>5</v>
      </c>
      <c r="G203" s="83">
        <v>30</v>
      </c>
      <c r="H203" s="98">
        <f t="shared" si="61"/>
        <v>150</v>
      </c>
      <c r="I203" s="96"/>
      <c r="J203" s="82"/>
      <c r="K203" s="101">
        <f t="shared" si="62"/>
        <v>0</v>
      </c>
      <c r="L203" s="100"/>
      <c r="M203" s="79" t="str">
        <f t="shared" si="63"/>
        <v/>
      </c>
      <c r="N203" s="102" t="str">
        <f t="shared" si="64"/>
        <v/>
      </c>
      <c r="O203" s="946"/>
      <c r="P203" s="947"/>
      <c r="Q203" s="948"/>
      <c r="R203" s="251"/>
    </row>
    <row r="204" spans="2:18">
      <c r="B204" s="220"/>
      <c r="C204" s="75" t="s">
        <v>304</v>
      </c>
      <c r="D204" s="76" t="s">
        <v>346</v>
      </c>
      <c r="E204" s="93" t="s">
        <v>178</v>
      </c>
      <c r="F204" s="227">
        <v>4</v>
      </c>
      <c r="G204" s="83">
        <v>54</v>
      </c>
      <c r="H204" s="98">
        <f t="shared" si="61"/>
        <v>216</v>
      </c>
      <c r="I204" s="96"/>
      <c r="J204" s="82"/>
      <c r="K204" s="101">
        <f t="shared" si="62"/>
        <v>0</v>
      </c>
      <c r="L204" s="100"/>
      <c r="M204" s="79" t="str">
        <f t="shared" si="63"/>
        <v/>
      </c>
      <c r="N204" s="102" t="str">
        <f t="shared" si="64"/>
        <v/>
      </c>
      <c r="O204" s="946"/>
      <c r="P204" s="947"/>
      <c r="Q204" s="948"/>
      <c r="R204" s="251"/>
    </row>
    <row r="205" spans="2:18">
      <c r="B205" s="220"/>
      <c r="C205" s="75" t="s">
        <v>304</v>
      </c>
      <c r="D205" s="76" t="s">
        <v>347</v>
      </c>
      <c r="E205" s="93" t="s">
        <v>178</v>
      </c>
      <c r="F205" s="227">
        <v>5</v>
      </c>
      <c r="G205" s="83">
        <v>194</v>
      </c>
      <c r="H205" s="98">
        <f t="shared" si="61"/>
        <v>970</v>
      </c>
      <c r="I205" s="96"/>
      <c r="J205" s="82"/>
      <c r="K205" s="101">
        <f t="shared" si="62"/>
        <v>0</v>
      </c>
      <c r="L205" s="100"/>
      <c r="M205" s="79" t="str">
        <f t="shared" si="63"/>
        <v/>
      </c>
      <c r="N205" s="102" t="str">
        <f t="shared" si="64"/>
        <v/>
      </c>
      <c r="O205" s="946"/>
      <c r="P205" s="947"/>
      <c r="Q205" s="948"/>
      <c r="R205" s="251"/>
    </row>
    <row r="206" spans="2:18">
      <c r="B206" s="220"/>
      <c r="C206" s="75" t="s">
        <v>304</v>
      </c>
      <c r="D206" s="76" t="s">
        <v>348</v>
      </c>
      <c r="E206" s="93" t="s">
        <v>140</v>
      </c>
      <c r="F206" s="227">
        <v>39.700000000000003</v>
      </c>
      <c r="G206" s="83">
        <v>240</v>
      </c>
      <c r="H206" s="98">
        <f>(F206/2.5)*G206</f>
        <v>3811.2000000000003</v>
      </c>
      <c r="I206" s="96"/>
      <c r="J206" s="82"/>
      <c r="K206" s="101">
        <f t="shared" si="62"/>
        <v>0</v>
      </c>
      <c r="L206" s="100"/>
      <c r="M206" s="79" t="str">
        <f t="shared" si="63"/>
        <v/>
      </c>
      <c r="N206" s="102" t="str">
        <f t="shared" si="64"/>
        <v/>
      </c>
      <c r="O206" s="961" t="s">
        <v>1094</v>
      </c>
      <c r="P206" s="962"/>
      <c r="Q206" s="963"/>
      <c r="R206" s="251"/>
    </row>
    <row r="207" spans="2:18">
      <c r="B207" s="220"/>
      <c r="C207" s="75" t="s">
        <v>304</v>
      </c>
      <c r="D207" s="76" t="s">
        <v>349</v>
      </c>
      <c r="E207" s="93" t="s">
        <v>178</v>
      </c>
      <c r="F207" s="227">
        <v>6</v>
      </c>
      <c r="G207" s="83">
        <v>54</v>
      </c>
      <c r="H207" s="98">
        <f t="shared" si="61"/>
        <v>324</v>
      </c>
      <c r="I207" s="96"/>
      <c r="J207" s="82"/>
      <c r="K207" s="101">
        <f t="shared" si="62"/>
        <v>0</v>
      </c>
      <c r="L207" s="100"/>
      <c r="M207" s="79" t="str">
        <f t="shared" si="63"/>
        <v/>
      </c>
      <c r="N207" s="102" t="str">
        <f t="shared" si="64"/>
        <v/>
      </c>
      <c r="O207" s="946"/>
      <c r="P207" s="947"/>
      <c r="Q207" s="948"/>
      <c r="R207" s="251"/>
    </row>
    <row r="208" spans="2:18">
      <c r="B208" s="220"/>
      <c r="C208" s="75" t="s">
        <v>304</v>
      </c>
      <c r="D208" s="76" t="s">
        <v>350</v>
      </c>
      <c r="E208" s="93" t="s">
        <v>178</v>
      </c>
      <c r="F208" s="227">
        <v>0</v>
      </c>
      <c r="G208" s="83">
        <v>28</v>
      </c>
      <c r="H208" s="98">
        <f t="shared" si="61"/>
        <v>0</v>
      </c>
      <c r="I208" s="96"/>
      <c r="J208" s="82"/>
      <c r="K208" s="101">
        <f t="shared" si="62"/>
        <v>0</v>
      </c>
      <c r="L208" s="100"/>
      <c r="M208" s="79" t="str">
        <f t="shared" si="63"/>
        <v/>
      </c>
      <c r="N208" s="102" t="str">
        <f t="shared" si="64"/>
        <v/>
      </c>
      <c r="O208" s="946"/>
      <c r="P208" s="947"/>
      <c r="Q208" s="948"/>
      <c r="R208" s="251"/>
    </row>
    <row r="209" spans="2:18">
      <c r="B209" s="220"/>
      <c r="C209" s="75" t="s">
        <v>304</v>
      </c>
      <c r="D209" s="76" t="s">
        <v>351</v>
      </c>
      <c r="E209" s="93" t="s">
        <v>178</v>
      </c>
      <c r="F209" s="227">
        <v>5</v>
      </c>
      <c r="G209" s="83">
        <v>40</v>
      </c>
      <c r="H209" s="98">
        <f t="shared" si="61"/>
        <v>200</v>
      </c>
      <c r="I209" s="96"/>
      <c r="J209" s="82"/>
      <c r="K209" s="101">
        <f t="shared" si="62"/>
        <v>0</v>
      </c>
      <c r="L209" s="100"/>
      <c r="M209" s="79" t="str">
        <f t="shared" si="63"/>
        <v/>
      </c>
      <c r="N209" s="102" t="str">
        <f t="shared" si="64"/>
        <v/>
      </c>
      <c r="O209" s="946"/>
      <c r="P209" s="947"/>
      <c r="Q209" s="948"/>
      <c r="R209" s="251"/>
    </row>
    <row r="210" spans="2:18">
      <c r="B210" s="220"/>
      <c r="C210" s="75" t="s">
        <v>304</v>
      </c>
      <c r="D210" s="76" t="s">
        <v>352</v>
      </c>
      <c r="E210" s="93" t="s">
        <v>178</v>
      </c>
      <c r="F210" s="227">
        <v>2</v>
      </c>
      <c r="G210" s="83">
        <v>90</v>
      </c>
      <c r="H210" s="98">
        <f t="shared" si="61"/>
        <v>180</v>
      </c>
      <c r="I210" s="96"/>
      <c r="J210" s="82"/>
      <c r="K210" s="101">
        <f t="shared" si="62"/>
        <v>0</v>
      </c>
      <c r="L210" s="100"/>
      <c r="M210" s="79" t="str">
        <f t="shared" si="63"/>
        <v/>
      </c>
      <c r="N210" s="102" t="str">
        <f t="shared" si="64"/>
        <v/>
      </c>
      <c r="O210" s="946"/>
      <c r="P210" s="947"/>
      <c r="Q210" s="948"/>
      <c r="R210" s="251"/>
    </row>
    <row r="211" spans="2:18">
      <c r="B211" s="220"/>
      <c r="C211" s="75" t="s">
        <v>304</v>
      </c>
      <c r="D211" s="76" t="s">
        <v>353</v>
      </c>
      <c r="E211" s="93" t="s">
        <v>338</v>
      </c>
      <c r="F211" s="227">
        <v>6</v>
      </c>
      <c r="G211" s="83">
        <v>14</v>
      </c>
      <c r="H211" s="98">
        <f t="shared" si="61"/>
        <v>84</v>
      </c>
      <c r="I211" s="96"/>
      <c r="J211" s="82"/>
      <c r="K211" s="101">
        <f t="shared" si="62"/>
        <v>0</v>
      </c>
      <c r="L211" s="100"/>
      <c r="M211" s="79" t="str">
        <f t="shared" si="63"/>
        <v/>
      </c>
      <c r="N211" s="102" t="str">
        <f t="shared" si="64"/>
        <v/>
      </c>
      <c r="O211" s="946"/>
      <c r="P211" s="947"/>
      <c r="Q211" s="948"/>
      <c r="R211" s="251"/>
    </row>
    <row r="212" spans="2:18">
      <c r="B212" s="220"/>
      <c r="C212" s="75" t="s">
        <v>304</v>
      </c>
      <c r="D212" s="76" t="s">
        <v>1105</v>
      </c>
      <c r="E212" s="93" t="s">
        <v>338</v>
      </c>
      <c r="F212" s="227">
        <f>F200/2.5</f>
        <v>24.496000000000002</v>
      </c>
      <c r="G212" s="83">
        <v>12</v>
      </c>
      <c r="H212" s="98">
        <f t="shared" si="61"/>
        <v>293.952</v>
      </c>
      <c r="I212" s="96"/>
      <c r="J212" s="82"/>
      <c r="K212" s="101">
        <f t="shared" si="62"/>
        <v>0</v>
      </c>
      <c r="L212" s="100"/>
      <c r="M212" s="79" t="str">
        <f t="shared" si="63"/>
        <v/>
      </c>
      <c r="N212" s="102" t="str">
        <f t="shared" si="64"/>
        <v/>
      </c>
      <c r="O212" s="946"/>
      <c r="P212" s="947"/>
      <c r="Q212" s="948"/>
      <c r="R212" s="251"/>
    </row>
    <row r="213" spans="2:18">
      <c r="B213" s="220"/>
      <c r="C213" s="75" t="s">
        <v>304</v>
      </c>
      <c r="D213" s="76" t="s">
        <v>1106</v>
      </c>
      <c r="E213" s="93" t="s">
        <v>338</v>
      </c>
      <c r="F213" s="227">
        <f>F206/2.5</f>
        <v>15.88</v>
      </c>
      <c r="G213" s="83">
        <v>14</v>
      </c>
      <c r="H213" s="98">
        <f t="shared" ref="H213:H215" si="65">G213*F213</f>
        <v>222.32000000000002</v>
      </c>
      <c r="I213" s="96"/>
      <c r="J213" s="82"/>
      <c r="K213" s="101">
        <f t="shared" ref="K213:K215" si="66">I213*J213</f>
        <v>0</v>
      </c>
      <c r="L213" s="100"/>
      <c r="M213" s="79" t="str">
        <f t="shared" ref="M213:M215" si="67">IF(L213="S",H213-K213,"")</f>
        <v/>
      </c>
      <c r="N213" s="102" t="str">
        <f t="shared" ref="N213:N215" si="68">IF(L213="S",IF(M213&gt;0,"Poupou",IF(M213=0,"Planejado","Estourou")),"")</f>
        <v/>
      </c>
      <c r="O213" s="946"/>
      <c r="P213" s="947"/>
      <c r="Q213" s="948"/>
      <c r="R213" s="251"/>
    </row>
    <row r="214" spans="2:18">
      <c r="B214" s="220"/>
      <c r="C214" s="75" t="s">
        <v>304</v>
      </c>
      <c r="D214" s="76" t="s">
        <v>1098</v>
      </c>
      <c r="E214" s="93" t="s">
        <v>178</v>
      </c>
      <c r="F214" s="227">
        <v>11</v>
      </c>
      <c r="G214" s="83">
        <v>200</v>
      </c>
      <c r="H214" s="98">
        <f t="shared" si="65"/>
        <v>2200</v>
      </c>
      <c r="I214" s="96"/>
      <c r="J214" s="82"/>
      <c r="K214" s="101">
        <f t="shared" si="66"/>
        <v>0</v>
      </c>
      <c r="L214" s="100"/>
      <c r="M214" s="79" t="str">
        <f t="shared" si="67"/>
        <v/>
      </c>
      <c r="N214" s="102" t="str">
        <f t="shared" si="68"/>
        <v/>
      </c>
      <c r="O214" s="946"/>
      <c r="P214" s="947"/>
      <c r="Q214" s="948"/>
      <c r="R214" s="251"/>
    </row>
    <row r="215" spans="2:18">
      <c r="B215" s="220"/>
      <c r="C215" s="75" t="s">
        <v>304</v>
      </c>
      <c r="D215" s="76" t="s">
        <v>1120</v>
      </c>
      <c r="E215" s="93" t="s">
        <v>1121</v>
      </c>
      <c r="F215" s="227">
        <v>1</v>
      </c>
      <c r="G215" s="83">
        <v>3500</v>
      </c>
      <c r="H215" s="98">
        <f t="shared" si="65"/>
        <v>3500</v>
      </c>
      <c r="I215" s="96"/>
      <c r="J215" s="82"/>
      <c r="K215" s="101">
        <f t="shared" si="66"/>
        <v>0</v>
      </c>
      <c r="L215" s="100"/>
      <c r="M215" s="79" t="str">
        <f t="shared" si="67"/>
        <v/>
      </c>
      <c r="N215" s="102" t="str">
        <f t="shared" si="68"/>
        <v/>
      </c>
      <c r="O215" s="946"/>
      <c r="P215" s="947"/>
      <c r="Q215" s="948"/>
      <c r="R215" s="251"/>
    </row>
    <row r="216" spans="2:18">
      <c r="B216" s="220"/>
      <c r="C216" s="75" t="s">
        <v>304</v>
      </c>
      <c r="D216" s="76"/>
      <c r="E216" s="93"/>
      <c r="F216" s="227"/>
      <c r="G216" s="83"/>
      <c r="H216" s="98">
        <f t="shared" ref="H216:H217" si="69">G216*F216</f>
        <v>0</v>
      </c>
      <c r="I216" s="96"/>
      <c r="J216" s="82"/>
      <c r="K216" s="101">
        <f t="shared" ref="K216:K217" si="70">I216*J216</f>
        <v>0</v>
      </c>
      <c r="L216" s="100"/>
      <c r="M216" s="79" t="str">
        <f t="shared" ref="M216:M217" si="71">IF(L216="S",H216-K216,"")</f>
        <v/>
      </c>
      <c r="N216" s="102" t="str">
        <f t="shared" ref="N216:N217" si="72">IF(L216="S",IF(M216&gt;0,"Poupou",IF(M216=0,"Planejado","Estourou")),"")</f>
        <v/>
      </c>
      <c r="O216" s="946"/>
      <c r="P216" s="947"/>
      <c r="Q216" s="948"/>
      <c r="R216" s="251"/>
    </row>
    <row r="217" spans="2:18">
      <c r="B217" s="220"/>
      <c r="C217" s="75" t="s">
        <v>304</v>
      </c>
      <c r="D217" s="76"/>
      <c r="E217" s="93"/>
      <c r="F217" s="227"/>
      <c r="G217" s="83"/>
      <c r="H217" s="98">
        <f t="shared" si="69"/>
        <v>0</v>
      </c>
      <c r="I217" s="96"/>
      <c r="J217" s="82"/>
      <c r="K217" s="101">
        <f t="shared" si="70"/>
        <v>0</v>
      </c>
      <c r="L217" s="100"/>
      <c r="M217" s="79" t="str">
        <f t="shared" si="71"/>
        <v/>
      </c>
      <c r="N217" s="102" t="str">
        <f t="shared" si="72"/>
        <v/>
      </c>
      <c r="O217" s="946"/>
      <c r="P217" s="947"/>
      <c r="Q217" s="948"/>
      <c r="R217" s="251"/>
    </row>
    <row r="218" spans="2:18">
      <c r="B218" s="220"/>
      <c r="C218" s="75" t="s">
        <v>304</v>
      </c>
      <c r="D218" s="964" t="s">
        <v>355</v>
      </c>
      <c r="E218" s="965"/>
      <c r="F218" s="965"/>
      <c r="G218" s="965"/>
      <c r="H218" s="965"/>
      <c r="I218" s="965"/>
      <c r="J218" s="965"/>
      <c r="K218" s="965"/>
      <c r="L218" s="965"/>
      <c r="M218" s="965"/>
      <c r="N218" s="965"/>
      <c r="O218" s="965"/>
      <c r="P218" s="965"/>
      <c r="Q218" s="966"/>
      <c r="R218" s="251"/>
    </row>
    <row r="219" spans="2:18">
      <c r="B219" s="220"/>
      <c r="C219" s="75" t="s">
        <v>304</v>
      </c>
      <c r="D219" s="76" t="s">
        <v>356</v>
      </c>
      <c r="E219" s="93" t="s">
        <v>178</v>
      </c>
      <c r="F219" s="227">
        <v>1</v>
      </c>
      <c r="G219" s="83">
        <v>210</v>
      </c>
      <c r="H219" s="98">
        <f t="shared" ref="H219:H233" si="73">G219*F219</f>
        <v>210</v>
      </c>
      <c r="I219" s="96"/>
      <c r="J219" s="82"/>
      <c r="K219" s="101">
        <f t="shared" ref="K219:K233" si="74">I219*J219</f>
        <v>0</v>
      </c>
      <c r="L219" s="100"/>
      <c r="M219" s="79" t="str">
        <f t="shared" ref="M219:M233" si="75">IF(L219="S",H219-K219,"")</f>
        <v/>
      </c>
      <c r="N219" s="102" t="str">
        <f t="shared" ref="N219:N233" si="76">IF(L219="S",IF(M219&gt;0,"Poupou",IF(M219=0,"Planejado","Estourou")),"")</f>
        <v/>
      </c>
      <c r="O219" s="955"/>
      <c r="P219" s="956"/>
      <c r="Q219" s="957"/>
      <c r="R219" s="251"/>
    </row>
    <row r="220" spans="2:18">
      <c r="B220" s="220"/>
      <c r="C220" s="75" t="s">
        <v>304</v>
      </c>
      <c r="D220" s="76" t="s">
        <v>357</v>
      </c>
      <c r="E220" s="93" t="s">
        <v>178</v>
      </c>
      <c r="F220" s="227">
        <v>1</v>
      </c>
      <c r="G220" s="83">
        <v>280</v>
      </c>
      <c r="H220" s="98">
        <f t="shared" si="73"/>
        <v>280</v>
      </c>
      <c r="I220" s="96"/>
      <c r="J220" s="82"/>
      <c r="K220" s="101">
        <f t="shared" si="74"/>
        <v>0</v>
      </c>
      <c r="L220" s="100"/>
      <c r="M220" s="79" t="str">
        <f t="shared" si="75"/>
        <v/>
      </c>
      <c r="N220" s="102" t="str">
        <f t="shared" si="76"/>
        <v/>
      </c>
      <c r="O220" s="946"/>
      <c r="P220" s="947"/>
      <c r="Q220" s="948"/>
      <c r="R220" s="251"/>
    </row>
    <row r="221" spans="2:18">
      <c r="B221" s="220"/>
      <c r="C221" s="75" t="s">
        <v>304</v>
      </c>
      <c r="D221" s="76" t="s">
        <v>358</v>
      </c>
      <c r="E221" s="93" t="s">
        <v>178</v>
      </c>
      <c r="F221" s="227">
        <v>10</v>
      </c>
      <c r="G221" s="83">
        <v>36</v>
      </c>
      <c r="H221" s="98">
        <f t="shared" si="73"/>
        <v>360</v>
      </c>
      <c r="I221" s="96"/>
      <c r="J221" s="82"/>
      <c r="K221" s="101">
        <f t="shared" si="74"/>
        <v>0</v>
      </c>
      <c r="L221" s="100"/>
      <c r="M221" s="79" t="str">
        <f t="shared" si="75"/>
        <v/>
      </c>
      <c r="N221" s="102" t="str">
        <f t="shared" si="76"/>
        <v/>
      </c>
      <c r="O221" s="946"/>
      <c r="P221" s="947"/>
      <c r="Q221" s="948"/>
      <c r="R221" s="251"/>
    </row>
    <row r="222" spans="2:18">
      <c r="B222" s="220"/>
      <c r="C222" s="75" t="s">
        <v>304</v>
      </c>
      <c r="D222" s="76" t="s">
        <v>359</v>
      </c>
      <c r="E222" s="93" t="s">
        <v>140</v>
      </c>
      <c r="F222" s="227">
        <v>22.9</v>
      </c>
      <c r="G222" s="83">
        <v>14.5</v>
      </c>
      <c r="H222" s="98">
        <f t="shared" si="73"/>
        <v>332.04999999999995</v>
      </c>
      <c r="I222" s="96"/>
      <c r="J222" s="82"/>
      <c r="K222" s="101">
        <f t="shared" si="74"/>
        <v>0</v>
      </c>
      <c r="L222" s="100"/>
      <c r="M222" s="79" t="str">
        <f t="shared" si="75"/>
        <v/>
      </c>
      <c r="N222" s="102" t="str">
        <f t="shared" si="76"/>
        <v/>
      </c>
      <c r="O222" s="961" t="s">
        <v>1107</v>
      </c>
      <c r="P222" s="962"/>
      <c r="Q222" s="963"/>
      <c r="R222" s="251"/>
    </row>
    <row r="223" spans="2:18">
      <c r="B223" s="220"/>
      <c r="C223" s="75" t="s">
        <v>304</v>
      </c>
      <c r="D223" s="76" t="s">
        <v>360</v>
      </c>
      <c r="E223" s="93" t="s">
        <v>178</v>
      </c>
      <c r="F223" s="227">
        <v>16</v>
      </c>
      <c r="G223" s="83">
        <v>2.1</v>
      </c>
      <c r="H223" s="98">
        <f t="shared" si="73"/>
        <v>33.6</v>
      </c>
      <c r="I223" s="96"/>
      <c r="J223" s="82"/>
      <c r="K223" s="101">
        <f t="shared" si="74"/>
        <v>0</v>
      </c>
      <c r="L223" s="100"/>
      <c r="M223" s="79" t="str">
        <f t="shared" si="75"/>
        <v/>
      </c>
      <c r="N223" s="102" t="str">
        <f t="shared" si="76"/>
        <v/>
      </c>
      <c r="O223" s="946"/>
      <c r="P223" s="947"/>
      <c r="Q223" s="948"/>
      <c r="R223" s="251"/>
    </row>
    <row r="224" spans="2:18">
      <c r="B224" s="220"/>
      <c r="C224" s="75" t="s">
        <v>304</v>
      </c>
      <c r="D224" s="76" t="s">
        <v>361</v>
      </c>
      <c r="E224" s="93" t="s">
        <v>178</v>
      </c>
      <c r="F224" s="227">
        <v>12</v>
      </c>
      <c r="G224" s="83">
        <v>3.3</v>
      </c>
      <c r="H224" s="98">
        <f t="shared" si="73"/>
        <v>39.599999999999994</v>
      </c>
      <c r="I224" s="96"/>
      <c r="J224" s="82"/>
      <c r="K224" s="101">
        <f t="shared" si="74"/>
        <v>0</v>
      </c>
      <c r="L224" s="100"/>
      <c r="M224" s="79" t="str">
        <f t="shared" si="75"/>
        <v/>
      </c>
      <c r="N224" s="102" t="str">
        <f t="shared" si="76"/>
        <v/>
      </c>
      <c r="O224" s="946"/>
      <c r="P224" s="947"/>
      <c r="Q224" s="948"/>
      <c r="R224" s="251"/>
    </row>
    <row r="225" spans="2:18">
      <c r="B225" s="220"/>
      <c r="C225" s="75" t="s">
        <v>304</v>
      </c>
      <c r="D225" s="76" t="s">
        <v>362</v>
      </c>
      <c r="E225" s="93" t="s">
        <v>178</v>
      </c>
      <c r="F225" s="227">
        <v>8</v>
      </c>
      <c r="G225" s="83">
        <v>5.0999999999999996</v>
      </c>
      <c r="H225" s="98">
        <f t="shared" si="73"/>
        <v>40.799999999999997</v>
      </c>
      <c r="I225" s="96"/>
      <c r="J225" s="82"/>
      <c r="K225" s="101">
        <f t="shared" si="74"/>
        <v>0</v>
      </c>
      <c r="L225" s="100"/>
      <c r="M225" s="79" t="str">
        <f t="shared" si="75"/>
        <v/>
      </c>
      <c r="N225" s="102" t="str">
        <f t="shared" si="76"/>
        <v/>
      </c>
      <c r="O225" s="946"/>
      <c r="P225" s="947"/>
      <c r="Q225" s="948"/>
      <c r="R225" s="251"/>
    </row>
    <row r="226" spans="2:18">
      <c r="B226" s="220"/>
      <c r="C226" s="75" t="s">
        <v>304</v>
      </c>
      <c r="D226" s="76" t="s">
        <v>363</v>
      </c>
      <c r="E226" s="93" t="s">
        <v>178</v>
      </c>
      <c r="F226" s="227">
        <v>0</v>
      </c>
      <c r="G226" s="83">
        <v>3</v>
      </c>
      <c r="H226" s="98">
        <f t="shared" si="73"/>
        <v>0</v>
      </c>
      <c r="I226" s="96"/>
      <c r="J226" s="82"/>
      <c r="K226" s="101">
        <f t="shared" si="74"/>
        <v>0</v>
      </c>
      <c r="L226" s="100"/>
      <c r="M226" s="79" t="str">
        <f t="shared" si="75"/>
        <v/>
      </c>
      <c r="N226" s="102" t="str">
        <f t="shared" si="76"/>
        <v/>
      </c>
      <c r="O226" s="946"/>
      <c r="P226" s="947"/>
      <c r="Q226" s="948"/>
      <c r="R226" s="251"/>
    </row>
    <row r="227" spans="2:18">
      <c r="B227" s="220"/>
      <c r="C227" s="75" t="s">
        <v>304</v>
      </c>
      <c r="D227" s="76" t="s">
        <v>1095</v>
      </c>
      <c r="E227" s="93" t="s">
        <v>178</v>
      </c>
      <c r="F227" s="227">
        <f>(F222/3)+3</f>
        <v>10.633333333333333</v>
      </c>
      <c r="G227" s="83">
        <v>2</v>
      </c>
      <c r="H227" s="98">
        <f t="shared" si="73"/>
        <v>21.266666666666666</v>
      </c>
      <c r="I227" s="96"/>
      <c r="J227" s="82"/>
      <c r="K227" s="101">
        <f t="shared" si="74"/>
        <v>0</v>
      </c>
      <c r="L227" s="100"/>
      <c r="M227" s="79" t="str">
        <f t="shared" si="75"/>
        <v/>
      </c>
      <c r="N227" s="102" t="str">
        <f t="shared" si="76"/>
        <v/>
      </c>
      <c r="O227" s="961" t="s">
        <v>1136</v>
      </c>
      <c r="P227" s="962"/>
      <c r="Q227" s="963"/>
      <c r="R227" s="251"/>
    </row>
    <row r="228" spans="2:18">
      <c r="B228" s="220"/>
      <c r="C228" s="75" t="s">
        <v>304</v>
      </c>
      <c r="D228" s="76" t="s">
        <v>364</v>
      </c>
      <c r="E228" s="93" t="s">
        <v>140</v>
      </c>
      <c r="F228" s="227">
        <v>22.8</v>
      </c>
      <c r="G228" s="83">
        <v>20</v>
      </c>
      <c r="H228" s="98">
        <f t="shared" si="73"/>
        <v>456</v>
      </c>
      <c r="I228" s="96"/>
      <c r="J228" s="82"/>
      <c r="K228" s="101">
        <f t="shared" si="74"/>
        <v>0</v>
      </c>
      <c r="L228" s="100"/>
      <c r="M228" s="79" t="str">
        <f t="shared" si="75"/>
        <v/>
      </c>
      <c r="N228" s="102" t="str">
        <f t="shared" si="76"/>
        <v/>
      </c>
      <c r="O228" s="961" t="s">
        <v>1107</v>
      </c>
      <c r="P228" s="962"/>
      <c r="Q228" s="963"/>
      <c r="R228" s="251"/>
    </row>
    <row r="229" spans="2:18">
      <c r="B229" s="220"/>
      <c r="C229" s="75" t="s">
        <v>304</v>
      </c>
      <c r="D229" s="76" t="s">
        <v>365</v>
      </c>
      <c r="E229" s="93" t="s">
        <v>178</v>
      </c>
      <c r="F229" s="227">
        <v>14</v>
      </c>
      <c r="G229" s="83">
        <v>3.3</v>
      </c>
      <c r="H229" s="98">
        <f t="shared" si="73"/>
        <v>46.199999999999996</v>
      </c>
      <c r="I229" s="96"/>
      <c r="J229" s="82"/>
      <c r="K229" s="101">
        <f t="shared" si="74"/>
        <v>0</v>
      </c>
      <c r="L229" s="100"/>
      <c r="M229" s="79" t="str">
        <f t="shared" si="75"/>
        <v/>
      </c>
      <c r="N229" s="102" t="str">
        <f t="shared" si="76"/>
        <v/>
      </c>
      <c r="O229" s="946"/>
      <c r="P229" s="947"/>
      <c r="Q229" s="948"/>
      <c r="R229" s="251"/>
    </row>
    <row r="230" spans="2:18">
      <c r="B230" s="220"/>
      <c r="C230" s="75" t="s">
        <v>304</v>
      </c>
      <c r="D230" s="76" t="s">
        <v>366</v>
      </c>
      <c r="E230" s="93" t="s">
        <v>178</v>
      </c>
      <c r="F230" s="227">
        <v>8</v>
      </c>
      <c r="G230" s="83">
        <v>4.2</v>
      </c>
      <c r="H230" s="98">
        <f t="shared" si="73"/>
        <v>33.6</v>
      </c>
      <c r="I230" s="96"/>
      <c r="J230" s="82"/>
      <c r="K230" s="101">
        <f t="shared" si="74"/>
        <v>0</v>
      </c>
      <c r="L230" s="100"/>
      <c r="M230" s="79" t="str">
        <f t="shared" si="75"/>
        <v/>
      </c>
      <c r="N230" s="102" t="str">
        <f t="shared" si="76"/>
        <v/>
      </c>
      <c r="O230" s="946"/>
      <c r="P230" s="947"/>
      <c r="Q230" s="948"/>
      <c r="R230" s="251"/>
    </row>
    <row r="231" spans="2:18">
      <c r="B231" s="220"/>
      <c r="C231" s="75" t="s">
        <v>304</v>
      </c>
      <c r="D231" s="76" t="s">
        <v>367</v>
      </c>
      <c r="E231" s="93" t="s">
        <v>178</v>
      </c>
      <c r="F231" s="227">
        <v>2</v>
      </c>
      <c r="G231" s="83">
        <v>14.5</v>
      </c>
      <c r="H231" s="98">
        <f t="shared" si="73"/>
        <v>29</v>
      </c>
      <c r="I231" s="96"/>
      <c r="J231" s="82"/>
      <c r="K231" s="101">
        <f t="shared" si="74"/>
        <v>0</v>
      </c>
      <c r="L231" s="100"/>
      <c r="M231" s="79" t="str">
        <f t="shared" si="75"/>
        <v/>
      </c>
      <c r="N231" s="102" t="str">
        <f t="shared" si="76"/>
        <v/>
      </c>
      <c r="O231" s="946"/>
      <c r="P231" s="947"/>
      <c r="Q231" s="948"/>
      <c r="R231" s="251"/>
    </row>
    <row r="232" spans="2:18">
      <c r="B232" s="220"/>
      <c r="C232" s="75" t="s">
        <v>304</v>
      </c>
      <c r="D232" s="76" t="s">
        <v>368</v>
      </c>
      <c r="E232" s="93" t="s">
        <v>178</v>
      </c>
      <c r="F232" s="227">
        <v>0</v>
      </c>
      <c r="G232" s="83">
        <v>16</v>
      </c>
      <c r="H232" s="98">
        <f t="shared" si="73"/>
        <v>0</v>
      </c>
      <c r="I232" s="96"/>
      <c r="J232" s="82"/>
      <c r="K232" s="101">
        <f t="shared" si="74"/>
        <v>0</v>
      </c>
      <c r="L232" s="100"/>
      <c r="M232" s="79" t="str">
        <f t="shared" si="75"/>
        <v/>
      </c>
      <c r="N232" s="102" t="str">
        <f t="shared" si="76"/>
        <v/>
      </c>
      <c r="O232" s="946"/>
      <c r="P232" s="947"/>
      <c r="Q232" s="948"/>
      <c r="R232" s="251"/>
    </row>
    <row r="233" spans="2:18">
      <c r="B233" s="220"/>
      <c r="C233" s="75" t="s">
        <v>304</v>
      </c>
      <c r="D233" s="76" t="s">
        <v>1109</v>
      </c>
      <c r="E233" s="93" t="s">
        <v>178</v>
      </c>
      <c r="F233" s="227">
        <f>(F228/3)+3</f>
        <v>10.600000000000001</v>
      </c>
      <c r="G233" s="83">
        <v>4</v>
      </c>
      <c r="H233" s="98">
        <f t="shared" si="73"/>
        <v>42.400000000000006</v>
      </c>
      <c r="I233" s="96"/>
      <c r="J233" s="82"/>
      <c r="K233" s="101">
        <f t="shared" si="74"/>
        <v>0</v>
      </c>
      <c r="L233" s="100"/>
      <c r="M233" s="79" t="str">
        <f t="shared" si="75"/>
        <v/>
      </c>
      <c r="N233" s="102" t="str">
        <f t="shared" si="76"/>
        <v/>
      </c>
      <c r="O233" s="961" t="s">
        <v>1136</v>
      </c>
      <c r="P233" s="962"/>
      <c r="Q233" s="963"/>
      <c r="R233" s="251"/>
    </row>
    <row r="234" spans="2:18">
      <c r="B234" s="220"/>
      <c r="C234" s="75" t="s">
        <v>304</v>
      </c>
      <c r="D234" s="76" t="s">
        <v>369</v>
      </c>
      <c r="E234" s="93" t="s">
        <v>140</v>
      </c>
      <c r="F234" s="227">
        <v>33</v>
      </c>
      <c r="G234" s="83">
        <v>35</v>
      </c>
      <c r="H234" s="98">
        <f t="shared" ref="H234:H238" si="77">G234*F234</f>
        <v>1155</v>
      </c>
      <c r="I234" s="96"/>
      <c r="J234" s="82"/>
      <c r="K234" s="101">
        <f t="shared" ref="K234:K238" si="78">I234*J234</f>
        <v>0</v>
      </c>
      <c r="L234" s="100"/>
      <c r="M234" s="79" t="str">
        <f t="shared" ref="M234:M238" si="79">IF(L234="S",H234-K234,"")</f>
        <v/>
      </c>
      <c r="N234" s="102" t="str">
        <f t="shared" ref="N234:N238" si="80">IF(L234="S",IF(M234&gt;0,"Poupou",IF(M234=0,"Planejado","Estourou")),"")</f>
        <v/>
      </c>
      <c r="O234" s="961" t="s">
        <v>1107</v>
      </c>
      <c r="P234" s="962"/>
      <c r="Q234" s="963"/>
      <c r="R234" s="251"/>
    </row>
    <row r="235" spans="2:18">
      <c r="B235" s="220"/>
      <c r="C235" s="75" t="s">
        <v>304</v>
      </c>
      <c r="D235" s="76" t="s">
        <v>370</v>
      </c>
      <c r="E235" s="93" t="s">
        <v>178</v>
      </c>
      <c r="F235" s="227">
        <v>5</v>
      </c>
      <c r="G235" s="83">
        <v>8.1</v>
      </c>
      <c r="H235" s="98">
        <f t="shared" si="77"/>
        <v>40.5</v>
      </c>
      <c r="I235" s="96"/>
      <c r="J235" s="82"/>
      <c r="K235" s="101">
        <f t="shared" si="78"/>
        <v>0</v>
      </c>
      <c r="L235" s="100"/>
      <c r="M235" s="79" t="str">
        <f t="shared" si="79"/>
        <v/>
      </c>
      <c r="N235" s="102" t="str">
        <f t="shared" si="80"/>
        <v/>
      </c>
      <c r="O235" s="946"/>
      <c r="P235" s="947"/>
      <c r="Q235" s="948"/>
      <c r="R235" s="251"/>
    </row>
    <row r="236" spans="2:18">
      <c r="B236" s="220"/>
      <c r="C236" s="75" t="s">
        <v>304</v>
      </c>
      <c r="D236" s="76" t="s">
        <v>371</v>
      </c>
      <c r="E236" s="93" t="s">
        <v>178</v>
      </c>
      <c r="F236" s="227">
        <v>16</v>
      </c>
      <c r="G236" s="83">
        <v>8.3000000000000007</v>
      </c>
      <c r="H236" s="98">
        <f t="shared" si="77"/>
        <v>132.80000000000001</v>
      </c>
      <c r="I236" s="96"/>
      <c r="J236" s="82"/>
      <c r="K236" s="101">
        <f t="shared" si="78"/>
        <v>0</v>
      </c>
      <c r="L236" s="100"/>
      <c r="M236" s="79" t="str">
        <f t="shared" si="79"/>
        <v/>
      </c>
      <c r="N236" s="102" t="str">
        <f t="shared" si="80"/>
        <v/>
      </c>
      <c r="O236" s="946"/>
      <c r="P236" s="947"/>
      <c r="Q236" s="948"/>
      <c r="R236" s="251"/>
    </row>
    <row r="237" spans="2:18">
      <c r="B237" s="220"/>
      <c r="C237" s="75" t="s">
        <v>304</v>
      </c>
      <c r="D237" s="76" t="s">
        <v>372</v>
      </c>
      <c r="E237" s="93" t="s">
        <v>178</v>
      </c>
      <c r="F237" s="227">
        <v>6</v>
      </c>
      <c r="G237" s="83">
        <v>18</v>
      </c>
      <c r="H237" s="98">
        <f t="shared" si="77"/>
        <v>108</v>
      </c>
      <c r="I237" s="96"/>
      <c r="J237" s="82"/>
      <c r="K237" s="101">
        <f t="shared" si="78"/>
        <v>0</v>
      </c>
      <c r="L237" s="100"/>
      <c r="M237" s="79" t="str">
        <f t="shared" si="79"/>
        <v/>
      </c>
      <c r="N237" s="102" t="str">
        <f t="shared" si="80"/>
        <v/>
      </c>
      <c r="O237" s="946"/>
      <c r="P237" s="947"/>
      <c r="Q237" s="948"/>
      <c r="R237" s="251"/>
    </row>
    <row r="238" spans="2:18">
      <c r="B238" s="220"/>
      <c r="C238" s="75" t="s">
        <v>304</v>
      </c>
      <c r="D238" s="76" t="s">
        <v>373</v>
      </c>
      <c r="E238" s="93" t="s">
        <v>178</v>
      </c>
      <c r="F238" s="227">
        <v>0</v>
      </c>
      <c r="G238" s="83">
        <v>37</v>
      </c>
      <c r="H238" s="98">
        <f t="shared" si="77"/>
        <v>0</v>
      </c>
      <c r="I238" s="96"/>
      <c r="J238" s="82"/>
      <c r="K238" s="101">
        <f t="shared" si="78"/>
        <v>0</v>
      </c>
      <c r="L238" s="100"/>
      <c r="M238" s="79" t="str">
        <f t="shared" si="79"/>
        <v/>
      </c>
      <c r="N238" s="102" t="str">
        <f t="shared" si="80"/>
        <v/>
      </c>
      <c r="O238" s="946"/>
      <c r="P238" s="947"/>
      <c r="Q238" s="948"/>
      <c r="R238" s="251"/>
    </row>
    <row r="239" spans="2:18">
      <c r="B239" s="220"/>
      <c r="C239" s="75" t="s">
        <v>304</v>
      </c>
      <c r="D239" s="76" t="s">
        <v>1108</v>
      </c>
      <c r="E239" s="93" t="s">
        <v>178</v>
      </c>
      <c r="F239" s="227">
        <f>(F234/3)+3</f>
        <v>14</v>
      </c>
      <c r="G239" s="83">
        <v>6</v>
      </c>
      <c r="H239" s="98">
        <f t="shared" ref="H239:H249" si="81">G239*F239</f>
        <v>84</v>
      </c>
      <c r="I239" s="96"/>
      <c r="J239" s="82"/>
      <c r="K239" s="101">
        <f t="shared" ref="K239:K249" si="82">I239*J239</f>
        <v>0</v>
      </c>
      <c r="L239" s="100"/>
      <c r="M239" s="79" t="str">
        <f t="shared" ref="M239:M249" si="83">IF(L239="S",H239-K239,"")</f>
        <v/>
      </c>
      <c r="N239" s="102" t="str">
        <f t="shared" ref="N239:N249" si="84">IF(L239="S",IF(M239&gt;0,"Poupou",IF(M239=0,"Planejado","Estourou")),"")</f>
        <v/>
      </c>
      <c r="O239" s="961" t="s">
        <v>1136</v>
      </c>
      <c r="P239" s="962"/>
      <c r="Q239" s="963"/>
      <c r="R239" s="251"/>
    </row>
    <row r="240" spans="2:18">
      <c r="B240" s="220"/>
      <c r="C240" s="75" t="s">
        <v>304</v>
      </c>
      <c r="D240" s="76" t="s">
        <v>1110</v>
      </c>
      <c r="E240" s="93" t="s">
        <v>178</v>
      </c>
      <c r="F240" s="227">
        <v>1</v>
      </c>
      <c r="G240" s="83">
        <v>12</v>
      </c>
      <c r="H240" s="98">
        <f t="shared" si="81"/>
        <v>12</v>
      </c>
      <c r="I240" s="96"/>
      <c r="J240" s="82"/>
      <c r="K240" s="101">
        <f t="shared" si="82"/>
        <v>0</v>
      </c>
      <c r="L240" s="100"/>
      <c r="M240" s="79" t="str">
        <f t="shared" si="83"/>
        <v/>
      </c>
      <c r="N240" s="102" t="str">
        <f t="shared" si="84"/>
        <v/>
      </c>
      <c r="O240" s="844"/>
      <c r="P240" s="845"/>
      <c r="Q240" s="846"/>
      <c r="R240" s="251"/>
    </row>
    <row r="241" spans="2:18">
      <c r="B241" s="220"/>
      <c r="C241" s="75" t="s">
        <v>304</v>
      </c>
      <c r="D241" s="76" t="s">
        <v>1111</v>
      </c>
      <c r="E241" s="93" t="s">
        <v>178</v>
      </c>
      <c r="F241" s="227">
        <v>4</v>
      </c>
      <c r="G241" s="83">
        <v>18</v>
      </c>
      <c r="H241" s="98">
        <f t="shared" si="81"/>
        <v>72</v>
      </c>
      <c r="I241" s="96"/>
      <c r="J241" s="82"/>
      <c r="K241" s="101">
        <f t="shared" si="82"/>
        <v>0</v>
      </c>
      <c r="L241" s="100"/>
      <c r="M241" s="79" t="str">
        <f t="shared" si="83"/>
        <v/>
      </c>
      <c r="N241" s="102" t="str">
        <f t="shared" si="84"/>
        <v/>
      </c>
      <c r="O241" s="844"/>
      <c r="P241" s="845"/>
      <c r="Q241" s="846"/>
      <c r="R241" s="251"/>
    </row>
    <row r="242" spans="2:18">
      <c r="B242" s="220"/>
      <c r="C242" s="75" t="s">
        <v>304</v>
      </c>
      <c r="D242" s="76" t="s">
        <v>1112</v>
      </c>
      <c r="E242" s="93" t="s">
        <v>178</v>
      </c>
      <c r="F242" s="227">
        <v>0</v>
      </c>
      <c r="G242" s="83">
        <v>13</v>
      </c>
      <c r="H242" s="98">
        <f t="shared" si="81"/>
        <v>0</v>
      </c>
      <c r="I242" s="96"/>
      <c r="J242" s="82"/>
      <c r="K242" s="101">
        <f t="shared" si="82"/>
        <v>0</v>
      </c>
      <c r="L242" s="100"/>
      <c r="M242" s="79" t="str">
        <f t="shared" si="83"/>
        <v/>
      </c>
      <c r="N242" s="102" t="str">
        <f t="shared" si="84"/>
        <v/>
      </c>
      <c r="O242" s="844"/>
      <c r="P242" s="845"/>
      <c r="Q242" s="846"/>
      <c r="R242" s="251"/>
    </row>
    <row r="243" spans="2:18">
      <c r="B243" s="220"/>
      <c r="C243" s="75" t="s">
        <v>304</v>
      </c>
      <c r="D243" s="76" t="s">
        <v>1113</v>
      </c>
      <c r="E243" s="93" t="s">
        <v>178</v>
      </c>
      <c r="F243" s="227">
        <v>0</v>
      </c>
      <c r="G243" s="83">
        <v>3</v>
      </c>
      <c r="H243" s="98">
        <f t="shared" si="81"/>
        <v>0</v>
      </c>
      <c r="I243" s="96"/>
      <c r="J243" s="82"/>
      <c r="K243" s="101">
        <f t="shared" si="82"/>
        <v>0</v>
      </c>
      <c r="L243" s="100"/>
      <c r="M243" s="79" t="str">
        <f t="shared" si="83"/>
        <v/>
      </c>
      <c r="N243" s="102" t="str">
        <f t="shared" si="84"/>
        <v/>
      </c>
      <c r="O243" s="844"/>
      <c r="P243" s="845"/>
      <c r="Q243" s="846"/>
      <c r="R243" s="251"/>
    </row>
    <row r="244" spans="2:18">
      <c r="B244" s="220"/>
      <c r="C244" s="75" t="s">
        <v>304</v>
      </c>
      <c r="D244" s="76" t="s">
        <v>1114</v>
      </c>
      <c r="E244" s="93" t="s">
        <v>178</v>
      </c>
      <c r="F244" s="227">
        <v>0</v>
      </c>
      <c r="G244" s="83">
        <v>7</v>
      </c>
      <c r="H244" s="98">
        <f t="shared" si="81"/>
        <v>0</v>
      </c>
      <c r="I244" s="96"/>
      <c r="J244" s="82"/>
      <c r="K244" s="101">
        <f t="shared" si="82"/>
        <v>0</v>
      </c>
      <c r="L244" s="100"/>
      <c r="M244" s="79" t="str">
        <f t="shared" si="83"/>
        <v/>
      </c>
      <c r="N244" s="102" t="str">
        <f t="shared" si="84"/>
        <v/>
      </c>
      <c r="O244" s="844"/>
      <c r="P244" s="845"/>
      <c r="Q244" s="846"/>
      <c r="R244" s="251"/>
    </row>
    <row r="245" spans="2:18">
      <c r="B245" s="220"/>
      <c r="C245" s="75" t="s">
        <v>304</v>
      </c>
      <c r="D245" s="76" t="s">
        <v>308</v>
      </c>
      <c r="E245" s="93" t="s">
        <v>178</v>
      </c>
      <c r="F245" s="227">
        <f>F220+F219+F221</f>
        <v>12</v>
      </c>
      <c r="G245" s="83">
        <v>115</v>
      </c>
      <c r="H245" s="98">
        <f t="shared" si="81"/>
        <v>1380</v>
      </c>
      <c r="I245" s="96"/>
      <c r="J245" s="82"/>
      <c r="K245" s="101">
        <f t="shared" si="82"/>
        <v>0</v>
      </c>
      <c r="L245" s="100"/>
      <c r="M245" s="79" t="str">
        <f t="shared" si="83"/>
        <v/>
      </c>
      <c r="N245" s="102" t="str">
        <f t="shared" si="84"/>
        <v/>
      </c>
      <c r="O245" s="961" t="s">
        <v>384</v>
      </c>
      <c r="P245" s="962"/>
      <c r="Q245" s="963"/>
      <c r="R245" s="251"/>
    </row>
    <row r="246" spans="2:18">
      <c r="B246" s="220"/>
      <c r="C246" s="75" t="s">
        <v>304</v>
      </c>
      <c r="D246" s="76" t="s">
        <v>374</v>
      </c>
      <c r="E246" s="93" t="s">
        <v>178</v>
      </c>
      <c r="F246" s="227">
        <f>F93</f>
        <v>6</v>
      </c>
      <c r="G246" s="83">
        <v>70</v>
      </c>
      <c r="H246" s="98">
        <f t="shared" si="81"/>
        <v>420</v>
      </c>
      <c r="I246" s="96"/>
      <c r="J246" s="82"/>
      <c r="K246" s="101">
        <f t="shared" si="82"/>
        <v>0</v>
      </c>
      <c r="L246" s="100"/>
      <c r="M246" s="79" t="str">
        <f t="shared" si="83"/>
        <v/>
      </c>
      <c r="N246" s="102" t="str">
        <f t="shared" si="84"/>
        <v/>
      </c>
      <c r="O246" s="961" t="s">
        <v>376</v>
      </c>
      <c r="P246" s="962"/>
      <c r="Q246" s="963"/>
      <c r="R246" s="251"/>
    </row>
    <row r="247" spans="2:18">
      <c r="B247" s="220"/>
      <c r="C247" s="75" t="s">
        <v>304</v>
      </c>
      <c r="D247" s="76" t="s">
        <v>375</v>
      </c>
      <c r="E247" s="93" t="s">
        <v>178</v>
      </c>
      <c r="F247" s="227">
        <f>F246</f>
        <v>6</v>
      </c>
      <c r="G247" s="83">
        <v>20</v>
      </c>
      <c r="H247" s="98">
        <f t="shared" si="81"/>
        <v>120</v>
      </c>
      <c r="I247" s="96"/>
      <c r="J247" s="82"/>
      <c r="K247" s="101">
        <f t="shared" si="82"/>
        <v>0</v>
      </c>
      <c r="L247" s="100"/>
      <c r="M247" s="79" t="str">
        <f t="shared" si="83"/>
        <v/>
      </c>
      <c r="N247" s="102" t="str">
        <f t="shared" si="84"/>
        <v/>
      </c>
      <c r="O247" s="961" t="s">
        <v>376</v>
      </c>
      <c r="P247" s="962"/>
      <c r="Q247" s="963"/>
      <c r="R247" s="251"/>
    </row>
    <row r="248" spans="2:18">
      <c r="B248" s="220"/>
      <c r="C248" s="75" t="s">
        <v>304</v>
      </c>
      <c r="D248" s="76" t="s">
        <v>377</v>
      </c>
      <c r="E248" s="93" t="s">
        <v>178</v>
      </c>
      <c r="F248" s="227">
        <f>F94</f>
        <v>2</v>
      </c>
      <c r="G248" s="83">
        <v>86</v>
      </c>
      <c r="H248" s="98">
        <f t="shared" si="81"/>
        <v>172</v>
      </c>
      <c r="I248" s="96"/>
      <c r="J248" s="82"/>
      <c r="K248" s="101">
        <f t="shared" si="82"/>
        <v>0</v>
      </c>
      <c r="L248" s="100"/>
      <c r="M248" s="79" t="str">
        <f t="shared" si="83"/>
        <v/>
      </c>
      <c r="N248" s="102" t="str">
        <f t="shared" si="84"/>
        <v/>
      </c>
      <c r="O248" s="961" t="s">
        <v>381</v>
      </c>
      <c r="P248" s="962"/>
      <c r="Q248" s="963"/>
      <c r="R248" s="251"/>
    </row>
    <row r="249" spans="2:18">
      <c r="B249" s="220"/>
      <c r="C249" s="75" t="s">
        <v>304</v>
      </c>
      <c r="D249" s="76" t="s">
        <v>378</v>
      </c>
      <c r="E249" s="93" t="s">
        <v>178</v>
      </c>
      <c r="F249" s="227">
        <f>F248</f>
        <v>2</v>
      </c>
      <c r="G249" s="83">
        <v>23</v>
      </c>
      <c r="H249" s="98">
        <f t="shared" si="81"/>
        <v>46</v>
      </c>
      <c r="I249" s="96"/>
      <c r="J249" s="82"/>
      <c r="K249" s="101">
        <f t="shared" si="82"/>
        <v>0</v>
      </c>
      <c r="L249" s="100"/>
      <c r="M249" s="79" t="str">
        <f t="shared" si="83"/>
        <v/>
      </c>
      <c r="N249" s="102" t="str">
        <f t="shared" si="84"/>
        <v/>
      </c>
      <c r="O249" s="961" t="s">
        <v>381</v>
      </c>
      <c r="P249" s="962"/>
      <c r="Q249" s="963"/>
      <c r="R249" s="251"/>
    </row>
    <row r="250" spans="2:18">
      <c r="B250" s="220"/>
      <c r="C250" s="75" t="s">
        <v>304</v>
      </c>
      <c r="D250" s="76" t="s">
        <v>382</v>
      </c>
      <c r="E250" s="93" t="s">
        <v>178</v>
      </c>
      <c r="F250" s="227">
        <f>F95</f>
        <v>1</v>
      </c>
      <c r="G250" s="83">
        <v>62</v>
      </c>
      <c r="H250" s="98">
        <f t="shared" ref="H250:H252" si="85">G250*F250</f>
        <v>62</v>
      </c>
      <c r="I250" s="96"/>
      <c r="J250" s="82"/>
      <c r="K250" s="101">
        <f t="shared" ref="K250:K252" si="86">I250*J250</f>
        <v>0</v>
      </c>
      <c r="L250" s="100"/>
      <c r="M250" s="79" t="str">
        <f t="shared" ref="M250:M252" si="87">IF(L250="S",H250-K250,"")</f>
        <v/>
      </c>
      <c r="N250" s="102" t="str">
        <f t="shared" ref="N250:N252" si="88">IF(L250="S",IF(M250&gt;0,"Poupou",IF(M250=0,"Planejado","Estourou")),"")</f>
        <v/>
      </c>
      <c r="O250" s="961" t="s">
        <v>383</v>
      </c>
      <c r="P250" s="962"/>
      <c r="Q250" s="963"/>
      <c r="R250" s="251"/>
    </row>
    <row r="251" spans="2:18">
      <c r="B251" s="220"/>
      <c r="C251" s="75" t="s">
        <v>304</v>
      </c>
      <c r="D251" s="76" t="s">
        <v>379</v>
      </c>
      <c r="E251" s="93" t="s">
        <v>178</v>
      </c>
      <c r="F251" s="227">
        <f>F250</f>
        <v>1</v>
      </c>
      <c r="G251" s="83">
        <v>23</v>
      </c>
      <c r="H251" s="98">
        <f t="shared" si="85"/>
        <v>23</v>
      </c>
      <c r="I251" s="96"/>
      <c r="J251" s="82"/>
      <c r="K251" s="101">
        <f t="shared" si="86"/>
        <v>0</v>
      </c>
      <c r="L251" s="100"/>
      <c r="M251" s="79" t="str">
        <f t="shared" si="87"/>
        <v/>
      </c>
      <c r="N251" s="102" t="str">
        <f t="shared" si="88"/>
        <v/>
      </c>
      <c r="O251" s="961" t="s">
        <v>383</v>
      </c>
      <c r="P251" s="962"/>
      <c r="Q251" s="963"/>
      <c r="R251" s="251"/>
    </row>
    <row r="252" spans="2:18">
      <c r="B252" s="220"/>
      <c r="C252" s="75" t="s">
        <v>304</v>
      </c>
      <c r="D252" s="76" t="s">
        <v>380</v>
      </c>
      <c r="E252" s="93" t="s">
        <v>178</v>
      </c>
      <c r="F252" s="227">
        <f>F190</f>
        <v>5</v>
      </c>
      <c r="G252" s="83">
        <v>17.399999999999999</v>
      </c>
      <c r="H252" s="98">
        <f t="shared" si="85"/>
        <v>87</v>
      </c>
      <c r="I252" s="96"/>
      <c r="J252" s="82"/>
      <c r="K252" s="101">
        <f t="shared" si="86"/>
        <v>0</v>
      </c>
      <c r="L252" s="100"/>
      <c r="M252" s="79" t="str">
        <f t="shared" si="87"/>
        <v/>
      </c>
      <c r="N252" s="102" t="str">
        <f t="shared" si="88"/>
        <v/>
      </c>
      <c r="O252" s="961" t="s">
        <v>208</v>
      </c>
      <c r="P252" s="962"/>
      <c r="Q252" s="963"/>
      <c r="R252" s="251"/>
    </row>
    <row r="253" spans="2:18">
      <c r="B253" s="220"/>
      <c r="C253" s="75" t="s">
        <v>304</v>
      </c>
      <c r="D253" s="76" t="s">
        <v>1124</v>
      </c>
      <c r="E253" s="93" t="s">
        <v>338</v>
      </c>
      <c r="F253" s="227">
        <v>5</v>
      </c>
      <c r="G253" s="83">
        <v>13</v>
      </c>
      <c r="H253" s="98">
        <f t="shared" ref="H253:H257" si="89">G253*F253</f>
        <v>65</v>
      </c>
      <c r="I253" s="96"/>
      <c r="J253" s="82"/>
      <c r="K253" s="101">
        <f t="shared" ref="K253:K257" si="90">I253*J253</f>
        <v>0</v>
      </c>
      <c r="L253" s="100"/>
      <c r="M253" s="79" t="str">
        <f t="shared" ref="M253:M257" si="91">IF(L253="S",H253-K253,"")</f>
        <v/>
      </c>
      <c r="N253" s="102" t="str">
        <f t="shared" ref="N253:N257" si="92">IF(L253="S",IF(M253&gt;0,"Poupou",IF(M253=0,"Planejado","Estourou")),"")</f>
        <v/>
      </c>
      <c r="O253" s="946"/>
      <c r="P253" s="947"/>
      <c r="Q253" s="948"/>
      <c r="R253" s="251"/>
    </row>
    <row r="254" spans="2:18">
      <c r="B254" s="220"/>
      <c r="C254" s="75" t="s">
        <v>304</v>
      </c>
      <c r="D254" s="76" t="s">
        <v>1125</v>
      </c>
      <c r="E254" s="93" t="s">
        <v>338</v>
      </c>
      <c r="F254" s="227">
        <v>0</v>
      </c>
      <c r="G254" s="83">
        <v>12</v>
      </c>
      <c r="H254" s="98">
        <f t="shared" si="89"/>
        <v>0</v>
      </c>
      <c r="I254" s="96"/>
      <c r="J254" s="82"/>
      <c r="K254" s="101">
        <f t="shared" si="90"/>
        <v>0</v>
      </c>
      <c r="L254" s="100"/>
      <c r="M254" s="79" t="str">
        <f t="shared" si="91"/>
        <v/>
      </c>
      <c r="N254" s="102" t="str">
        <f t="shared" si="92"/>
        <v/>
      </c>
      <c r="O254" s="946"/>
      <c r="P254" s="947"/>
      <c r="Q254" s="948"/>
      <c r="R254" s="251"/>
    </row>
    <row r="255" spans="2:18">
      <c r="B255" s="220"/>
      <c r="C255" s="75" t="s">
        <v>304</v>
      </c>
      <c r="D255" s="76" t="s">
        <v>1144</v>
      </c>
      <c r="E255" s="93" t="s">
        <v>338</v>
      </c>
      <c r="F255" s="227">
        <v>2</v>
      </c>
      <c r="G255" s="83">
        <v>12</v>
      </c>
      <c r="H255" s="98">
        <f t="shared" si="89"/>
        <v>24</v>
      </c>
      <c r="I255" s="96"/>
      <c r="J255" s="82"/>
      <c r="K255" s="101">
        <f t="shared" si="90"/>
        <v>0</v>
      </c>
      <c r="L255" s="100"/>
      <c r="M255" s="79" t="str">
        <f t="shared" si="91"/>
        <v/>
      </c>
      <c r="N255" s="102" t="str">
        <f t="shared" si="92"/>
        <v/>
      </c>
      <c r="O255" s="946"/>
      <c r="P255" s="947"/>
      <c r="Q255" s="948"/>
      <c r="R255" s="251"/>
    </row>
    <row r="256" spans="2:18">
      <c r="B256" s="220"/>
      <c r="C256" s="75" t="s">
        <v>304</v>
      </c>
      <c r="D256" s="76" t="s">
        <v>1145</v>
      </c>
      <c r="E256" s="93" t="s">
        <v>338</v>
      </c>
      <c r="F256" s="227">
        <v>2</v>
      </c>
      <c r="G256" s="83">
        <v>11</v>
      </c>
      <c r="H256" s="98">
        <f t="shared" si="89"/>
        <v>22</v>
      </c>
      <c r="I256" s="96"/>
      <c r="J256" s="82"/>
      <c r="K256" s="101">
        <f t="shared" si="90"/>
        <v>0</v>
      </c>
      <c r="L256" s="100"/>
      <c r="M256" s="79" t="str">
        <f t="shared" si="91"/>
        <v/>
      </c>
      <c r="N256" s="102" t="str">
        <f t="shared" si="92"/>
        <v/>
      </c>
      <c r="O256" s="859"/>
      <c r="P256" s="860"/>
      <c r="Q256" s="861"/>
      <c r="R256" s="251"/>
    </row>
    <row r="257" spans="2:18">
      <c r="B257" s="220"/>
      <c r="C257" s="75" t="s">
        <v>304</v>
      </c>
      <c r="D257" s="76"/>
      <c r="E257" s="93"/>
      <c r="F257" s="227"/>
      <c r="G257" s="83"/>
      <c r="H257" s="98">
        <f t="shared" si="89"/>
        <v>0</v>
      </c>
      <c r="I257" s="96"/>
      <c r="J257" s="82"/>
      <c r="K257" s="101">
        <f t="shared" si="90"/>
        <v>0</v>
      </c>
      <c r="L257" s="100"/>
      <c r="M257" s="79" t="str">
        <f t="shared" si="91"/>
        <v/>
      </c>
      <c r="N257" s="102" t="str">
        <f t="shared" si="92"/>
        <v/>
      </c>
      <c r="O257" s="859"/>
      <c r="P257" s="860"/>
      <c r="Q257" s="861"/>
      <c r="R257" s="251"/>
    </row>
    <row r="258" spans="2:18" ht="15.75" thickBot="1">
      <c r="B258" s="220"/>
      <c r="C258" s="75" t="s">
        <v>304</v>
      </c>
      <c r="D258" s="76"/>
      <c r="E258" s="93"/>
      <c r="F258" s="227"/>
      <c r="G258" s="83"/>
      <c r="H258" s="98">
        <f t="shared" ref="H258" si="93">G258*F258</f>
        <v>0</v>
      </c>
      <c r="I258" s="96"/>
      <c r="J258" s="82"/>
      <c r="K258" s="101">
        <f t="shared" ref="K258" si="94">I258*J258</f>
        <v>0</v>
      </c>
      <c r="L258" s="100"/>
      <c r="M258" s="79" t="str">
        <f t="shared" ref="M258" si="95">IF(L258="S",H258-K258,"")</f>
        <v/>
      </c>
      <c r="N258" s="102" t="str">
        <f t="shared" ref="N258" si="96">IF(L258="S",IF(M258&gt;0,"Poupou",IF(M258=0,"Planejado","Estourou")),"")</f>
        <v/>
      </c>
      <c r="O258" s="958"/>
      <c r="P258" s="959"/>
      <c r="Q258" s="960"/>
      <c r="R258" s="251"/>
    </row>
    <row r="259" spans="2:18" ht="15.75" thickBot="1">
      <c r="B259" s="220"/>
      <c r="C259" s="127" t="s">
        <v>128</v>
      </c>
      <c r="D259" s="128"/>
      <c r="E259" s="129"/>
      <c r="F259" s="130"/>
      <c r="G259" s="131"/>
      <c r="H259" s="132">
        <f>SUM(H155:H156)+SUM(H158:H197)+SUM(H199:H217)+SUM(H219:H258)</f>
        <v>33667.807999999997</v>
      </c>
      <c r="I259" s="133"/>
      <c r="J259" s="131"/>
      <c r="K259" s="132">
        <f>SUM(K155:K156)+SUM(K158:K197)+SUM(K199:K217)+SUM(K219:K258)</f>
        <v>0</v>
      </c>
      <c r="L259" s="133"/>
      <c r="M259" s="131">
        <f>SUM(M155:M156)+SUM(M158:M197)+SUM(M199:M217)+SUM(M219:M258)</f>
        <v>0</v>
      </c>
      <c r="N259" s="135" t="str">
        <f>IF(M259&gt;0,"Poupou",IF(M259=0,"Planejado","Estourou"))</f>
        <v>Planejado</v>
      </c>
      <c r="O259" s="949"/>
      <c r="P259" s="950"/>
      <c r="Q259" s="951"/>
      <c r="R259" s="251"/>
    </row>
    <row r="260" spans="2:18">
      <c r="B260" s="220"/>
      <c r="C260" s="75" t="s">
        <v>385</v>
      </c>
      <c r="D260" s="76" t="s">
        <v>386</v>
      </c>
      <c r="E260" s="93" t="s">
        <v>178</v>
      </c>
      <c r="F260" s="227"/>
      <c r="G260" s="83"/>
      <c r="H260" s="98">
        <f t="shared" ref="H260" si="97">G260*F260</f>
        <v>0</v>
      </c>
      <c r="I260" s="96"/>
      <c r="J260" s="82"/>
      <c r="K260" s="101">
        <f t="shared" ref="K260" si="98">I260*J260</f>
        <v>0</v>
      </c>
      <c r="L260" s="100"/>
      <c r="M260" s="79" t="str">
        <f t="shared" ref="M260" si="99">IF(L260="S",H260-K260,"")</f>
        <v/>
      </c>
      <c r="N260" s="102" t="str">
        <f t="shared" ref="N260" si="100">IF(L260="S",IF(M260&gt;0,"Poupou",IF(M260=0,"Planejado","Estourou")),"")</f>
        <v/>
      </c>
      <c r="O260" s="955" t="s">
        <v>1062</v>
      </c>
      <c r="P260" s="956"/>
      <c r="Q260" s="957"/>
      <c r="R260" s="251"/>
    </row>
    <row r="261" spans="2:18">
      <c r="B261" s="220"/>
      <c r="C261" s="75" t="s">
        <v>385</v>
      </c>
      <c r="D261" s="76" t="s">
        <v>387</v>
      </c>
      <c r="E261" s="93" t="s">
        <v>178</v>
      </c>
      <c r="F261" s="227"/>
      <c r="G261" s="83"/>
      <c r="H261" s="98">
        <f t="shared" ref="H261:H268" si="101">G261*F261</f>
        <v>0</v>
      </c>
      <c r="I261" s="96"/>
      <c r="J261" s="82"/>
      <c r="K261" s="101">
        <f t="shared" ref="K261:K268" si="102">I261*J261</f>
        <v>0</v>
      </c>
      <c r="L261" s="100"/>
      <c r="M261" s="79" t="str">
        <f t="shared" ref="M261:M268" si="103">IF(L261="S",H261-K261,"")</f>
        <v/>
      </c>
      <c r="N261" s="102" t="str">
        <f t="shared" ref="N261:N268" si="104">IF(L261="S",IF(M261&gt;0,"Poupou",IF(M261=0,"Planejado","Estourou")),"")</f>
        <v/>
      </c>
      <c r="O261" s="946"/>
      <c r="P261" s="947"/>
      <c r="Q261" s="948"/>
      <c r="R261" s="251"/>
    </row>
    <row r="262" spans="2:18">
      <c r="B262" s="220"/>
      <c r="C262" s="75" t="s">
        <v>385</v>
      </c>
      <c r="D262" s="76" t="s">
        <v>388</v>
      </c>
      <c r="E262" s="93" t="s">
        <v>178</v>
      </c>
      <c r="F262" s="227"/>
      <c r="G262" s="83"/>
      <c r="H262" s="98">
        <f t="shared" si="101"/>
        <v>0</v>
      </c>
      <c r="I262" s="96"/>
      <c r="J262" s="82"/>
      <c r="K262" s="101">
        <f t="shared" si="102"/>
        <v>0</v>
      </c>
      <c r="L262" s="100"/>
      <c r="M262" s="79" t="str">
        <f t="shared" si="103"/>
        <v/>
      </c>
      <c r="N262" s="102" t="str">
        <f t="shared" si="104"/>
        <v/>
      </c>
      <c r="O262" s="946"/>
      <c r="P262" s="947"/>
      <c r="Q262" s="948"/>
      <c r="R262" s="251"/>
    </row>
    <row r="263" spans="2:18">
      <c r="B263" s="220"/>
      <c r="C263" s="75" t="s">
        <v>385</v>
      </c>
      <c r="D263" s="76" t="s">
        <v>389</v>
      </c>
      <c r="E263" s="93" t="s">
        <v>178</v>
      </c>
      <c r="F263" s="227"/>
      <c r="G263" s="83"/>
      <c r="H263" s="98">
        <f t="shared" si="101"/>
        <v>0</v>
      </c>
      <c r="I263" s="96"/>
      <c r="J263" s="82"/>
      <c r="K263" s="101">
        <f t="shared" si="102"/>
        <v>0</v>
      </c>
      <c r="L263" s="100"/>
      <c r="M263" s="79" t="str">
        <f t="shared" si="103"/>
        <v/>
      </c>
      <c r="N263" s="102" t="str">
        <f t="shared" si="104"/>
        <v/>
      </c>
      <c r="O263" s="946"/>
      <c r="P263" s="947"/>
      <c r="Q263" s="948"/>
      <c r="R263" s="251"/>
    </row>
    <row r="264" spans="2:18">
      <c r="B264" s="220"/>
      <c r="C264" s="75" t="s">
        <v>385</v>
      </c>
      <c r="D264" s="76" t="s">
        <v>390</v>
      </c>
      <c r="E264" s="93" t="s">
        <v>178</v>
      </c>
      <c r="F264" s="227"/>
      <c r="G264" s="83"/>
      <c r="H264" s="98">
        <f t="shared" si="101"/>
        <v>0</v>
      </c>
      <c r="I264" s="96"/>
      <c r="J264" s="82"/>
      <c r="K264" s="101">
        <f t="shared" si="102"/>
        <v>0</v>
      </c>
      <c r="L264" s="100"/>
      <c r="M264" s="79" t="str">
        <f t="shared" si="103"/>
        <v/>
      </c>
      <c r="N264" s="102" t="str">
        <f t="shared" si="104"/>
        <v/>
      </c>
      <c r="O264" s="946"/>
      <c r="P264" s="947"/>
      <c r="Q264" s="948"/>
      <c r="R264" s="251"/>
    </row>
    <row r="265" spans="2:18">
      <c r="B265" s="220"/>
      <c r="C265" s="75" t="s">
        <v>385</v>
      </c>
      <c r="D265" s="76"/>
      <c r="E265" s="93"/>
      <c r="F265" s="227"/>
      <c r="G265" s="83"/>
      <c r="H265" s="98">
        <f t="shared" si="101"/>
        <v>0</v>
      </c>
      <c r="I265" s="96"/>
      <c r="J265" s="82"/>
      <c r="K265" s="101">
        <f t="shared" si="102"/>
        <v>0</v>
      </c>
      <c r="L265" s="100"/>
      <c r="M265" s="79" t="str">
        <f t="shared" si="103"/>
        <v/>
      </c>
      <c r="N265" s="102" t="str">
        <f t="shared" si="104"/>
        <v/>
      </c>
      <c r="O265" s="946"/>
      <c r="P265" s="947"/>
      <c r="Q265" s="948"/>
      <c r="R265" s="251"/>
    </row>
    <row r="266" spans="2:18">
      <c r="B266" s="220"/>
      <c r="C266" s="75" t="s">
        <v>385</v>
      </c>
      <c r="D266" s="76"/>
      <c r="E266" s="93"/>
      <c r="F266" s="227"/>
      <c r="G266" s="83"/>
      <c r="H266" s="98">
        <f t="shared" si="101"/>
        <v>0</v>
      </c>
      <c r="I266" s="96"/>
      <c r="J266" s="82"/>
      <c r="K266" s="101">
        <f t="shared" si="102"/>
        <v>0</v>
      </c>
      <c r="L266" s="100"/>
      <c r="M266" s="79" t="str">
        <f t="shared" si="103"/>
        <v/>
      </c>
      <c r="N266" s="102" t="str">
        <f t="shared" si="104"/>
        <v/>
      </c>
      <c r="O266" s="946"/>
      <c r="P266" s="947"/>
      <c r="Q266" s="948"/>
      <c r="R266" s="251"/>
    </row>
    <row r="267" spans="2:18">
      <c r="B267" s="220"/>
      <c r="C267" s="75" t="s">
        <v>385</v>
      </c>
      <c r="D267" s="76"/>
      <c r="E267" s="93"/>
      <c r="F267" s="227"/>
      <c r="G267" s="83"/>
      <c r="H267" s="98">
        <f t="shared" si="101"/>
        <v>0</v>
      </c>
      <c r="I267" s="96"/>
      <c r="J267" s="82"/>
      <c r="K267" s="101">
        <f t="shared" si="102"/>
        <v>0</v>
      </c>
      <c r="L267" s="100"/>
      <c r="M267" s="79" t="str">
        <f t="shared" si="103"/>
        <v/>
      </c>
      <c r="N267" s="102" t="str">
        <f t="shared" si="104"/>
        <v/>
      </c>
      <c r="O267" s="946"/>
      <c r="P267" s="947"/>
      <c r="Q267" s="948"/>
      <c r="R267" s="251"/>
    </row>
    <row r="268" spans="2:18" ht="15.75" thickBot="1">
      <c r="B268" s="220"/>
      <c r="C268" s="75" t="s">
        <v>385</v>
      </c>
      <c r="D268" s="76"/>
      <c r="E268" s="93"/>
      <c r="F268" s="227"/>
      <c r="G268" s="83"/>
      <c r="H268" s="98">
        <f t="shared" si="101"/>
        <v>0</v>
      </c>
      <c r="I268" s="96"/>
      <c r="J268" s="82"/>
      <c r="K268" s="101">
        <f t="shared" si="102"/>
        <v>0</v>
      </c>
      <c r="L268" s="100"/>
      <c r="M268" s="79" t="str">
        <f t="shared" si="103"/>
        <v/>
      </c>
      <c r="N268" s="102" t="str">
        <f t="shared" si="104"/>
        <v/>
      </c>
      <c r="O268" s="946"/>
      <c r="P268" s="947"/>
      <c r="Q268" s="948"/>
      <c r="R268" s="251"/>
    </row>
    <row r="269" spans="2:18" ht="15.75" thickBot="1">
      <c r="B269" s="220"/>
      <c r="C269" s="127" t="s">
        <v>128</v>
      </c>
      <c r="D269" s="128"/>
      <c r="E269" s="129"/>
      <c r="F269" s="130"/>
      <c r="G269" s="131"/>
      <c r="H269" s="132">
        <f>SUM(H260:H268)</f>
        <v>0</v>
      </c>
      <c r="I269" s="133"/>
      <c r="J269" s="131"/>
      <c r="K269" s="132">
        <f>SUM(K260:K268)</f>
        <v>0</v>
      </c>
      <c r="L269" s="133"/>
      <c r="M269" s="131">
        <f>SUM(M260:M268)</f>
        <v>0</v>
      </c>
      <c r="N269" s="135" t="str">
        <f>IF(M269&gt;0,"Poupou",IF(M269=0,"Planejado","Estourou"))</f>
        <v>Planejado</v>
      </c>
      <c r="O269" s="949"/>
      <c r="P269" s="950"/>
      <c r="Q269" s="951"/>
      <c r="R269" s="251"/>
    </row>
    <row r="270" spans="2:18">
      <c r="B270" s="220"/>
      <c r="C270" s="75" t="s">
        <v>394</v>
      </c>
      <c r="D270" s="76" t="s">
        <v>391</v>
      </c>
      <c r="E270" s="93" t="s">
        <v>392</v>
      </c>
      <c r="F270" s="227">
        <v>1</v>
      </c>
      <c r="G270" s="83"/>
      <c r="H270" s="98">
        <f t="shared" ref="H270:H271" si="105">G270*F270</f>
        <v>0</v>
      </c>
      <c r="I270" s="96">
        <f>F270</f>
        <v>1</v>
      </c>
      <c r="J270" s="82">
        <f>G270</f>
        <v>0</v>
      </c>
      <c r="K270" s="101">
        <f t="shared" ref="K270:K271" si="106">I270*J270</f>
        <v>0</v>
      </c>
      <c r="L270" s="100"/>
      <c r="M270" s="79" t="str">
        <f t="shared" ref="M270:M271" si="107">IF(L270="S",H270-K270,"")</f>
        <v/>
      </c>
      <c r="N270" s="102" t="str">
        <f t="shared" ref="N270:N271" si="108">IF(L270="S",IF(M270&gt;0,"Poupou",IF(M270=0,"Planejado","Estourou")),"")</f>
        <v/>
      </c>
      <c r="O270" s="955" t="s">
        <v>1063</v>
      </c>
      <c r="P270" s="956"/>
      <c r="Q270" s="957"/>
      <c r="R270" s="251"/>
    </row>
    <row r="271" spans="2:18">
      <c r="B271" s="220"/>
      <c r="C271" s="75" t="s">
        <v>394</v>
      </c>
      <c r="D271" s="76" t="s">
        <v>393</v>
      </c>
      <c r="E271" s="93"/>
      <c r="F271" s="227"/>
      <c r="G271" s="83"/>
      <c r="H271" s="98">
        <f t="shared" si="105"/>
        <v>0</v>
      </c>
      <c r="I271" s="96"/>
      <c r="J271" s="82"/>
      <c r="K271" s="101">
        <f t="shared" si="106"/>
        <v>0</v>
      </c>
      <c r="L271" s="100"/>
      <c r="M271" s="79" t="str">
        <f t="shared" si="107"/>
        <v/>
      </c>
      <c r="N271" s="102" t="str">
        <f t="shared" si="108"/>
        <v/>
      </c>
      <c r="O271" s="946"/>
      <c r="P271" s="947"/>
      <c r="Q271" s="948"/>
      <c r="R271" s="251"/>
    </row>
    <row r="272" spans="2:18">
      <c r="B272" s="220"/>
      <c r="C272" s="75" t="s">
        <v>394</v>
      </c>
      <c r="D272" s="76" t="s">
        <v>395</v>
      </c>
      <c r="E272" s="93"/>
      <c r="F272" s="227"/>
      <c r="G272" s="83"/>
      <c r="H272" s="98">
        <f t="shared" ref="H272:H275" si="109">G272*F272</f>
        <v>0</v>
      </c>
      <c r="I272" s="96"/>
      <c r="J272" s="82"/>
      <c r="K272" s="101">
        <f t="shared" ref="K272:K275" si="110">I272*J272</f>
        <v>0</v>
      </c>
      <c r="L272" s="100"/>
      <c r="M272" s="79" t="str">
        <f t="shared" ref="M272:M275" si="111">IF(L272="S",H272-K272,"")</f>
        <v/>
      </c>
      <c r="N272" s="102" t="str">
        <f t="shared" ref="N272:N275" si="112">IF(L272="S",IF(M272&gt;0,"Poupou",IF(M272=0,"Planejado","Estourou")),"")</f>
        <v/>
      </c>
      <c r="O272" s="946"/>
      <c r="P272" s="947"/>
      <c r="Q272" s="948"/>
      <c r="R272" s="251"/>
    </row>
    <row r="273" spans="2:18">
      <c r="B273" s="220"/>
      <c r="C273" s="75" t="s">
        <v>394</v>
      </c>
      <c r="D273" s="76"/>
      <c r="E273" s="93"/>
      <c r="F273" s="227"/>
      <c r="G273" s="83"/>
      <c r="H273" s="98">
        <f t="shared" si="109"/>
        <v>0</v>
      </c>
      <c r="I273" s="96"/>
      <c r="J273" s="82"/>
      <c r="K273" s="101">
        <f t="shared" si="110"/>
        <v>0</v>
      </c>
      <c r="L273" s="100"/>
      <c r="M273" s="79" t="str">
        <f t="shared" si="111"/>
        <v/>
      </c>
      <c r="N273" s="102" t="str">
        <f t="shared" si="112"/>
        <v/>
      </c>
      <c r="O273" s="946"/>
      <c r="P273" s="947"/>
      <c r="Q273" s="948"/>
      <c r="R273" s="251"/>
    </row>
    <row r="274" spans="2:18">
      <c r="B274" s="220"/>
      <c r="C274" s="75" t="s">
        <v>394</v>
      </c>
      <c r="D274" s="76"/>
      <c r="E274" s="93"/>
      <c r="F274" s="227"/>
      <c r="G274" s="83"/>
      <c r="H274" s="98">
        <f t="shared" si="109"/>
        <v>0</v>
      </c>
      <c r="I274" s="96"/>
      <c r="J274" s="82"/>
      <c r="K274" s="101">
        <f t="shared" si="110"/>
        <v>0</v>
      </c>
      <c r="L274" s="100"/>
      <c r="M274" s="79" t="str">
        <f t="shared" si="111"/>
        <v/>
      </c>
      <c r="N274" s="102" t="str">
        <f t="shared" si="112"/>
        <v/>
      </c>
      <c r="O274" s="946"/>
      <c r="P274" s="947"/>
      <c r="Q274" s="948"/>
      <c r="R274" s="251"/>
    </row>
    <row r="275" spans="2:18">
      <c r="B275" s="220"/>
      <c r="C275" s="75" t="s">
        <v>394</v>
      </c>
      <c r="D275" s="76"/>
      <c r="E275" s="93"/>
      <c r="F275" s="227"/>
      <c r="G275" s="83"/>
      <c r="H275" s="98">
        <f t="shared" si="109"/>
        <v>0</v>
      </c>
      <c r="I275" s="96"/>
      <c r="J275" s="82"/>
      <c r="K275" s="101">
        <f t="shared" si="110"/>
        <v>0</v>
      </c>
      <c r="L275" s="100"/>
      <c r="M275" s="79" t="str">
        <f t="shared" si="111"/>
        <v/>
      </c>
      <c r="N275" s="102" t="str">
        <f t="shared" si="112"/>
        <v/>
      </c>
      <c r="O275" s="946"/>
      <c r="P275" s="947"/>
      <c r="Q275" s="948"/>
      <c r="R275" s="251"/>
    </row>
    <row r="276" spans="2:18" ht="15.75" thickBot="1">
      <c r="B276" s="220"/>
      <c r="C276" s="75" t="s">
        <v>394</v>
      </c>
      <c r="D276" s="76"/>
      <c r="E276" s="93"/>
      <c r="F276" s="227"/>
      <c r="G276" s="83"/>
      <c r="H276" s="98">
        <f t="shared" ref="H276" si="113">G276*F276</f>
        <v>0</v>
      </c>
      <c r="I276" s="96"/>
      <c r="J276" s="82"/>
      <c r="K276" s="101">
        <f t="shared" ref="K276" si="114">I276*J276</f>
        <v>0</v>
      </c>
      <c r="L276" s="100"/>
      <c r="M276" s="79" t="str">
        <f t="shared" ref="M276" si="115">IF(L276="S",H276-K276,"")</f>
        <v/>
      </c>
      <c r="N276" s="102" t="str">
        <f t="shared" ref="N276" si="116">IF(L276="S",IF(M276&gt;0,"Poupou",IF(M276=0,"Planejado","Estourou")),"")</f>
        <v/>
      </c>
      <c r="O276" s="946"/>
      <c r="P276" s="947"/>
      <c r="Q276" s="948"/>
      <c r="R276" s="251"/>
    </row>
    <row r="277" spans="2:18" ht="15.75" thickBot="1">
      <c r="B277" s="220"/>
      <c r="C277" s="127" t="s">
        <v>128</v>
      </c>
      <c r="D277" s="128"/>
      <c r="E277" s="129"/>
      <c r="F277" s="130"/>
      <c r="G277" s="131"/>
      <c r="H277" s="132">
        <f>SUM(H268:H276)</f>
        <v>0</v>
      </c>
      <c r="I277" s="133"/>
      <c r="J277" s="131"/>
      <c r="K277" s="132">
        <f>SUM(K268:K276)</f>
        <v>0</v>
      </c>
      <c r="L277" s="133"/>
      <c r="M277" s="131">
        <f>SUM(M268:M276)</f>
        <v>0</v>
      </c>
      <c r="N277" s="135" t="str">
        <f>IF(M277&gt;0,"Poupou",IF(M277=0,"Planejado","Estourou"))</f>
        <v>Planejado</v>
      </c>
      <c r="O277" s="949"/>
      <c r="P277" s="950"/>
      <c r="Q277" s="951"/>
      <c r="R277" s="251"/>
    </row>
    <row r="278" spans="2:18" ht="15.75" thickBot="1">
      <c r="B278" s="220"/>
      <c r="C278" s="237" t="s">
        <v>128</v>
      </c>
      <c r="D278" s="238"/>
      <c r="E278" s="239"/>
      <c r="F278" s="240"/>
      <c r="G278" s="241"/>
      <c r="H278" s="242">
        <f>H277+H269+H259+H154+H100+H91+H77+H68+H58+H54+H50++H43+H40+H32+H20</f>
        <v>334129.78475923702</v>
      </c>
      <c r="I278" s="243"/>
      <c r="J278" s="241"/>
      <c r="K278" s="242">
        <f>K277+K269+K259+K154+K100+K77+K68+K58+K54+K50+K43+K40+K32+K20</f>
        <v>0</v>
      </c>
      <c r="L278" s="243"/>
      <c r="M278" s="241">
        <f>H278-K278</f>
        <v>334129.78475923702</v>
      </c>
      <c r="N278" s="244" t="str">
        <f>IF(M278&gt;0,"Poupou",IF(M278=0,"Planejado","Estourou"))</f>
        <v>Poupou</v>
      </c>
      <c r="O278" s="952"/>
      <c r="P278" s="953"/>
      <c r="Q278" s="954"/>
      <c r="R278" s="251"/>
    </row>
    <row r="279" spans="2:18" ht="15.75" thickBot="1">
      <c r="B279" s="249"/>
      <c r="C279" s="246"/>
      <c r="D279" s="246"/>
      <c r="E279" s="246"/>
      <c r="F279" s="246"/>
      <c r="G279" s="246"/>
      <c r="H279" s="246"/>
      <c r="I279" s="246"/>
      <c r="J279" s="246"/>
      <c r="K279" s="246"/>
      <c r="L279" s="246"/>
      <c r="M279" s="246"/>
      <c r="N279" s="246"/>
      <c r="O279" s="246"/>
      <c r="P279" s="246"/>
      <c r="Q279" s="245"/>
      <c r="R279" s="252"/>
    </row>
    <row r="280" spans="2:18">
      <c r="B280" s="23"/>
      <c r="C280" s="40"/>
      <c r="D280" s="40"/>
      <c r="E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23"/>
    </row>
    <row r="281" spans="2:18">
      <c r="B281" s="23"/>
      <c r="C281" s="40"/>
      <c r="D281" s="40"/>
      <c r="E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23"/>
    </row>
    <row r="282" spans="2:18">
      <c r="B282" s="23"/>
      <c r="C282" s="40"/>
      <c r="D282" s="40"/>
      <c r="E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23"/>
    </row>
    <row r="283" spans="2:18"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</row>
    <row r="284" spans="2:18"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</row>
    <row r="285" spans="2:18"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</row>
    <row r="286" spans="2:18"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</row>
    <row r="287" spans="2:18"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</row>
    <row r="288" spans="2:18"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</row>
    <row r="289" spans="2:18"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</row>
    <row r="290" spans="2:18"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</row>
    <row r="291" spans="2:18"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</row>
    <row r="292" spans="2:18"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</row>
    <row r="293" spans="2:18"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</row>
    <row r="294" spans="2:18"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</row>
    <row r="295" spans="2:18"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</row>
    <row r="296" spans="2:18"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</row>
    <row r="297" spans="2:18"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</row>
    <row r="298" spans="2:18"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</row>
    <row r="299" spans="2:18"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</row>
    <row r="300" spans="2:18"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</row>
    <row r="301" spans="2:18"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</row>
    <row r="302" spans="2:18"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</row>
    <row r="303" spans="2:18"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</row>
    <row r="304" spans="2:18"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</row>
    <row r="305" spans="2:18"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</row>
    <row r="306" spans="2:18"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</row>
    <row r="307" spans="2:18"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</row>
    <row r="308" spans="2:18"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</row>
    <row r="309" spans="2:18"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</row>
    <row r="310" spans="2:18"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</row>
    <row r="311" spans="2:18"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</row>
    <row r="312" spans="2:18"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</row>
    <row r="313" spans="2:18"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</row>
    <row r="314" spans="2:18"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</row>
    <row r="315" spans="2:18"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</row>
    <row r="316" spans="2:18"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</row>
    <row r="317" spans="2:18"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</row>
    <row r="318" spans="2:18"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</row>
    <row r="319" spans="2:18"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</row>
    <row r="320" spans="2:18"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</row>
    <row r="321" spans="2:18"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</row>
    <row r="322" spans="2:18"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</row>
    <row r="323" spans="2:18"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</row>
    <row r="324" spans="2:18"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</row>
    <row r="325" spans="2:18"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</row>
    <row r="326" spans="2:18"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</row>
    <row r="327" spans="2:18"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</row>
    <row r="328" spans="2:18"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</row>
    <row r="329" spans="2:18"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</row>
    <row r="330" spans="2:18"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</row>
    <row r="331" spans="2:18"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</row>
    <row r="332" spans="2:18"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</row>
    <row r="333" spans="2:18"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</row>
    <row r="334" spans="2:18"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</row>
    <row r="335" spans="2:18"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</row>
    <row r="336" spans="2:18"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</row>
    <row r="337" spans="2:18"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</row>
    <row r="338" spans="2:18"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</row>
    <row r="339" spans="2:18"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</row>
    <row r="340" spans="2:18"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</row>
    <row r="341" spans="2:18"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</row>
    <row r="342" spans="2:18"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</row>
    <row r="343" spans="2:18"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</row>
    <row r="344" spans="2:18"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</row>
    <row r="345" spans="2:18"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</row>
    <row r="346" spans="2:18"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</row>
    <row r="347" spans="2:18"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</row>
    <row r="348" spans="2:18"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</row>
    <row r="349" spans="2:18"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</row>
    <row r="350" spans="2:18"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</row>
    <row r="351" spans="2:18"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</row>
    <row r="352" spans="2:18"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</row>
    <row r="353" spans="2:18"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</row>
    <row r="354" spans="2:18"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</row>
    <row r="355" spans="2:18"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</row>
    <row r="356" spans="2:18"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</row>
    <row r="357" spans="2:18"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</row>
    <row r="358" spans="2:18"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</row>
    <row r="359" spans="2:18"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</row>
    <row r="360" spans="2:18"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</row>
    <row r="361" spans="2:18"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</row>
    <row r="362" spans="2:18"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</row>
    <row r="363" spans="2:18"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</row>
    <row r="364" spans="2:18"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</row>
    <row r="365" spans="2:18"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</row>
    <row r="366" spans="2:18"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</row>
    <row r="367" spans="2:18"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</row>
    <row r="368" spans="2:18"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</row>
    <row r="369" spans="2:18"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</row>
    <row r="370" spans="2:18"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</row>
    <row r="371" spans="2:18"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</row>
    <row r="372" spans="2:18"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</row>
    <row r="373" spans="2:18"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</row>
    <row r="374" spans="2:18"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</row>
    <row r="375" spans="2:18"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</row>
    <row r="376" spans="2:18"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</row>
    <row r="377" spans="2:18"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</row>
    <row r="378" spans="2:18"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</row>
    <row r="379" spans="2:18"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</row>
    <row r="380" spans="2:18"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</row>
    <row r="381" spans="2:18"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</row>
    <row r="382" spans="2:18"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</row>
    <row r="383" spans="2:18"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</row>
    <row r="384" spans="2:18"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</row>
    <row r="385" spans="2:18"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</row>
    <row r="386" spans="2:18"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</row>
    <row r="387" spans="2:18"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</row>
    <row r="388" spans="2:18"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</row>
    <row r="389" spans="2:18"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</row>
    <row r="390" spans="2:18"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</row>
    <row r="391" spans="2:18"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</row>
    <row r="392" spans="2:18"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</row>
    <row r="393" spans="2:18"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</row>
    <row r="394" spans="2:18"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</row>
    <row r="395" spans="2:18"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</row>
    <row r="396" spans="2:18"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</row>
    <row r="397" spans="2:18"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</row>
    <row r="398" spans="2:18"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</row>
    <row r="399" spans="2:18"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</row>
    <row r="400" spans="2:18"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</row>
    <row r="401" spans="2:18"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</row>
    <row r="402" spans="2:18"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</row>
    <row r="403" spans="2:18"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</row>
    <row r="404" spans="2:18"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</row>
    <row r="405" spans="2:18"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</row>
    <row r="406" spans="2:18"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</row>
    <row r="407" spans="2:18"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</row>
    <row r="408" spans="2:18"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</row>
    <row r="409" spans="2:18"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</row>
    <row r="410" spans="2:18"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</row>
    <row r="411" spans="2:18"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</row>
    <row r="412" spans="2:18"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</row>
    <row r="413" spans="2:18">
      <c r="B413" s="23"/>
    </row>
    <row r="414" spans="2:18">
      <c r="B414" s="23"/>
    </row>
    <row r="415" spans="2:18">
      <c r="B415" s="23"/>
    </row>
    <row r="416" spans="2:18">
      <c r="B416" s="23"/>
    </row>
    <row r="417" spans="2:2">
      <c r="B417" s="23"/>
    </row>
    <row r="418" spans="2:2">
      <c r="B418" s="23"/>
    </row>
    <row r="419" spans="2:2">
      <c r="B419" s="23"/>
    </row>
    <row r="420" spans="2:2">
      <c r="B420" s="23"/>
    </row>
    <row r="421" spans="2:2">
      <c r="B421" s="23"/>
    </row>
    <row r="422" spans="2:2">
      <c r="B422" s="23"/>
    </row>
    <row r="423" spans="2:2">
      <c r="B423" s="23"/>
    </row>
    <row r="424" spans="2:2">
      <c r="B424" s="23"/>
    </row>
    <row r="425" spans="2:2">
      <c r="B425" s="23"/>
    </row>
    <row r="426" spans="2:2">
      <c r="B426" s="23"/>
    </row>
    <row r="427" spans="2:2">
      <c r="B427" s="23"/>
    </row>
    <row r="428" spans="2:2">
      <c r="B428" s="23"/>
    </row>
  </sheetData>
  <mergeCells count="260">
    <mergeCell ref="O55:Q55"/>
    <mergeCell ref="O56:Q56"/>
    <mergeCell ref="D101:Q101"/>
    <mergeCell ref="O136:Q136"/>
    <mergeCell ref="O139:Q139"/>
    <mergeCell ref="O133:Q133"/>
    <mergeCell ref="O141:Q141"/>
    <mergeCell ref="O112:Q112"/>
    <mergeCell ref="O113:Q113"/>
    <mergeCell ref="O128:Q128"/>
    <mergeCell ref="O129:Q129"/>
    <mergeCell ref="O130:Q130"/>
    <mergeCell ref="O131:Q131"/>
    <mergeCell ref="O132:Q132"/>
    <mergeCell ref="O123:Q123"/>
    <mergeCell ref="O124:Q124"/>
    <mergeCell ref="O125:Q125"/>
    <mergeCell ref="O118:Q118"/>
    <mergeCell ref="O99:Q99"/>
    <mergeCell ref="O100:Q100"/>
    <mergeCell ref="O92:Q92"/>
    <mergeCell ref="O93:Q93"/>
    <mergeCell ref="O66:Q66"/>
    <mergeCell ref="O67:Q67"/>
    <mergeCell ref="C3:Q3"/>
    <mergeCell ref="O103:Q103"/>
    <mergeCell ref="O104:Q104"/>
    <mergeCell ref="O105:Q105"/>
    <mergeCell ref="O106:Q106"/>
    <mergeCell ref="O107:Q107"/>
    <mergeCell ref="O102:Q102"/>
    <mergeCell ref="O33:Q33"/>
    <mergeCell ref="O34:Q34"/>
    <mergeCell ref="O35:Q35"/>
    <mergeCell ref="O36:Q36"/>
    <mergeCell ref="O42:Q42"/>
    <mergeCell ref="O37:Q37"/>
    <mergeCell ref="O38:Q38"/>
    <mergeCell ref="O39:Q39"/>
    <mergeCell ref="O40:Q40"/>
    <mergeCell ref="O41:Q41"/>
    <mergeCell ref="F4:H4"/>
    <mergeCell ref="I4:K4"/>
    <mergeCell ref="L4:N4"/>
    <mergeCell ref="O26:Q26"/>
    <mergeCell ref="O43:Q43"/>
    <mergeCell ref="O17:Q17"/>
    <mergeCell ref="O19:Q19"/>
    <mergeCell ref="O57:Q57"/>
    <mergeCell ref="O58:Q58"/>
    <mergeCell ref="O59:Q59"/>
    <mergeCell ref="O60:Q60"/>
    <mergeCell ref="O61:Q61"/>
    <mergeCell ref="O62:Q62"/>
    <mergeCell ref="O14:Q14"/>
    <mergeCell ref="O15:Q15"/>
    <mergeCell ref="O16:Q16"/>
    <mergeCell ref="O29:Q29"/>
    <mergeCell ref="O30:Q30"/>
    <mergeCell ref="O31:Q31"/>
    <mergeCell ref="O32:Q32"/>
    <mergeCell ref="O48:Q48"/>
    <mergeCell ref="O49:Q49"/>
    <mergeCell ref="O50:Q50"/>
    <mergeCell ref="O51:Q51"/>
    <mergeCell ref="O44:Q44"/>
    <mergeCell ref="O45:Q45"/>
    <mergeCell ref="O46:Q46"/>
    <mergeCell ref="O47:Q47"/>
    <mergeCell ref="O52:Q52"/>
    <mergeCell ref="O53:Q53"/>
    <mergeCell ref="O54:Q54"/>
    <mergeCell ref="O5:Q5"/>
    <mergeCell ref="O6:Q6"/>
    <mergeCell ref="O7:Q7"/>
    <mergeCell ref="O8:Q8"/>
    <mergeCell ref="O9:Q9"/>
    <mergeCell ref="O10:Q10"/>
    <mergeCell ref="O25:Q25"/>
    <mergeCell ref="O27:Q27"/>
    <mergeCell ref="O28:Q28"/>
    <mergeCell ref="O20:Q20"/>
    <mergeCell ref="O21:Q21"/>
    <mergeCell ref="O22:Q22"/>
    <mergeCell ref="O23:Q23"/>
    <mergeCell ref="O24:Q24"/>
    <mergeCell ref="O11:Q11"/>
    <mergeCell ref="O12:Q12"/>
    <mergeCell ref="O13:Q13"/>
    <mergeCell ref="O63:Q63"/>
    <mergeCell ref="O64:Q64"/>
    <mergeCell ref="O65:Q65"/>
    <mergeCell ref="O69:Q69"/>
    <mergeCell ref="O70:Q70"/>
    <mergeCell ref="O71:Q71"/>
    <mergeCell ref="O72:Q72"/>
    <mergeCell ref="O73:Q73"/>
    <mergeCell ref="O74:Q74"/>
    <mergeCell ref="O68:Q68"/>
    <mergeCell ref="O75:Q75"/>
    <mergeCell ref="O76:Q76"/>
    <mergeCell ref="O77:Q77"/>
    <mergeCell ref="O78:Q78"/>
    <mergeCell ref="O79:Q79"/>
    <mergeCell ref="O80:Q80"/>
    <mergeCell ref="O81:Q81"/>
    <mergeCell ref="O82:Q82"/>
    <mergeCell ref="O83:Q83"/>
    <mergeCell ref="O119:Q119"/>
    <mergeCell ref="O120:Q120"/>
    <mergeCell ref="O114:Q114"/>
    <mergeCell ref="O115:Q115"/>
    <mergeCell ref="O116:Q116"/>
    <mergeCell ref="O117:Q117"/>
    <mergeCell ref="O143:Q143"/>
    <mergeCell ref="O144:Q144"/>
    <mergeCell ref="O84:Q84"/>
    <mergeCell ref="O85:Q85"/>
    <mergeCell ref="O86:Q86"/>
    <mergeCell ref="O87:Q87"/>
    <mergeCell ref="O88:Q88"/>
    <mergeCell ref="O89:Q89"/>
    <mergeCell ref="O90:Q90"/>
    <mergeCell ref="O95:Q95"/>
    <mergeCell ref="O96:Q96"/>
    <mergeCell ref="O91:Q91"/>
    <mergeCell ref="O97:Q97"/>
    <mergeCell ref="O98:Q98"/>
    <mergeCell ref="O111:Q111"/>
    <mergeCell ref="O108:Q108"/>
    <mergeCell ref="O109:Q109"/>
    <mergeCell ref="O110:Q110"/>
    <mergeCell ref="O159:Q159"/>
    <mergeCell ref="O160:Q160"/>
    <mergeCell ref="D157:Q157"/>
    <mergeCell ref="O148:Q148"/>
    <mergeCell ref="O149:Q149"/>
    <mergeCell ref="O150:Q150"/>
    <mergeCell ref="O151:Q151"/>
    <mergeCell ref="O153:Q153"/>
    <mergeCell ref="O121:Q121"/>
    <mergeCell ref="O122:Q122"/>
    <mergeCell ref="D140:Q140"/>
    <mergeCell ref="O147:Q147"/>
    <mergeCell ref="O145:Q145"/>
    <mergeCell ref="O146:Q146"/>
    <mergeCell ref="O142:Q142"/>
    <mergeCell ref="O155:Q155"/>
    <mergeCell ref="O156:Q156"/>
    <mergeCell ref="O158:Q158"/>
    <mergeCell ref="O206:Q206"/>
    <mergeCell ref="O207:Q207"/>
    <mergeCell ref="O208:Q208"/>
    <mergeCell ref="O209:Q209"/>
    <mergeCell ref="O177:Q177"/>
    <mergeCell ref="O178:Q178"/>
    <mergeCell ref="O179:Q179"/>
    <mergeCell ref="O184:Q184"/>
    <mergeCell ref="O185:Q185"/>
    <mergeCell ref="O186:Q186"/>
    <mergeCell ref="O187:Q187"/>
    <mergeCell ref="O188:Q188"/>
    <mergeCell ref="O197:Q197"/>
    <mergeCell ref="D198:Q198"/>
    <mergeCell ref="O199:Q199"/>
    <mergeCell ref="O200:Q200"/>
    <mergeCell ref="O201:Q201"/>
    <mergeCell ref="O202:Q202"/>
    <mergeCell ref="O203:Q203"/>
    <mergeCell ref="O204:Q204"/>
    <mergeCell ref="O205:Q205"/>
    <mergeCell ref="O189:Q189"/>
    <mergeCell ref="O190:Q190"/>
    <mergeCell ref="O191:Q191"/>
    <mergeCell ref="O193:Q193"/>
    <mergeCell ref="O192:Q192"/>
    <mergeCell ref="O4:Q4"/>
    <mergeCell ref="O194:Q194"/>
    <mergeCell ref="O195:Q195"/>
    <mergeCell ref="O196:Q196"/>
    <mergeCell ref="O168:Q168"/>
    <mergeCell ref="O169:Q169"/>
    <mergeCell ref="O170:Q170"/>
    <mergeCell ref="O171:Q171"/>
    <mergeCell ref="O172:Q172"/>
    <mergeCell ref="O173:Q173"/>
    <mergeCell ref="O174:Q174"/>
    <mergeCell ref="O175:Q175"/>
    <mergeCell ref="O176:Q176"/>
    <mergeCell ref="O161:Q161"/>
    <mergeCell ref="O162:Q162"/>
    <mergeCell ref="O163:Q163"/>
    <mergeCell ref="O164:Q164"/>
    <mergeCell ref="O165:Q165"/>
    <mergeCell ref="O166:Q166"/>
    <mergeCell ref="O167:Q167"/>
    <mergeCell ref="O154:Q154"/>
    <mergeCell ref="O94:Q94"/>
    <mergeCell ref="O210:Q210"/>
    <mergeCell ref="O211:Q211"/>
    <mergeCell ref="O212:Q212"/>
    <mergeCell ref="O213:Q213"/>
    <mergeCell ref="O214:Q214"/>
    <mergeCell ref="O215:Q215"/>
    <mergeCell ref="O216:Q216"/>
    <mergeCell ref="O217:Q217"/>
    <mergeCell ref="D218:Q218"/>
    <mergeCell ref="O219:Q219"/>
    <mergeCell ref="O220:Q220"/>
    <mergeCell ref="O221:Q221"/>
    <mergeCell ref="O222:Q222"/>
    <mergeCell ref="O223:Q223"/>
    <mergeCell ref="O224:Q224"/>
    <mergeCell ref="O225:Q225"/>
    <mergeCell ref="O226:Q226"/>
    <mergeCell ref="O227:Q227"/>
    <mergeCell ref="O228:Q228"/>
    <mergeCell ref="O229:Q229"/>
    <mergeCell ref="O230:Q230"/>
    <mergeCell ref="O231:Q231"/>
    <mergeCell ref="O232:Q232"/>
    <mergeCell ref="O233:Q233"/>
    <mergeCell ref="O250:Q250"/>
    <mergeCell ref="O251:Q251"/>
    <mergeCell ref="O252:Q252"/>
    <mergeCell ref="O253:Q253"/>
    <mergeCell ref="O254:Q254"/>
    <mergeCell ref="O234:Q234"/>
    <mergeCell ref="O235:Q235"/>
    <mergeCell ref="O236:Q236"/>
    <mergeCell ref="O237:Q237"/>
    <mergeCell ref="O238:Q238"/>
    <mergeCell ref="O239:Q239"/>
    <mergeCell ref="O245:Q245"/>
    <mergeCell ref="O246:Q246"/>
    <mergeCell ref="O247:Q247"/>
    <mergeCell ref="O248:Q248"/>
    <mergeCell ref="O249:Q249"/>
    <mergeCell ref="O255:Q255"/>
    <mergeCell ref="O258:Q258"/>
    <mergeCell ref="O259:Q259"/>
    <mergeCell ref="O260:Q260"/>
    <mergeCell ref="O261:Q261"/>
    <mergeCell ref="O262:Q262"/>
    <mergeCell ref="O263:Q263"/>
    <mergeCell ref="O264:Q264"/>
    <mergeCell ref="O265:Q265"/>
    <mergeCell ref="O275:Q275"/>
    <mergeCell ref="O276:Q276"/>
    <mergeCell ref="O277:Q277"/>
    <mergeCell ref="O278:Q278"/>
    <mergeCell ref="O266:Q266"/>
    <mergeCell ref="O267:Q267"/>
    <mergeCell ref="O268:Q268"/>
    <mergeCell ref="O269:Q269"/>
    <mergeCell ref="O270:Q270"/>
    <mergeCell ref="O271:Q271"/>
    <mergeCell ref="O272:Q272"/>
    <mergeCell ref="O273:Q273"/>
    <mergeCell ref="O274:Q274"/>
  </mergeCells>
  <conditionalFormatting sqref="L9:L19 L21:L31 L33:L39 L41:L42">
    <cfRule type="containsText" dxfId="40" priority="1995" operator="containsText" text="S">
      <formula>NOT(ISERROR(SEARCH("S",L9)))</formula>
    </cfRule>
  </conditionalFormatting>
  <conditionalFormatting sqref="M9:M19">
    <cfRule type="cellIs" dxfId="39" priority="1992" operator="equal">
      <formula>0</formula>
    </cfRule>
    <cfRule type="cellIs" dxfId="38" priority="1993" operator="lessThan">
      <formula>0</formula>
    </cfRule>
    <cfRule type="cellIs" dxfId="37" priority="1994" operator="greaterThan">
      <formula>0</formula>
    </cfRule>
  </conditionalFormatting>
  <conditionalFormatting sqref="N199:N217 N141:N156 N9:N100 N102:N139 N158:N197 N219:N275">
    <cfRule type="containsText" dxfId="36" priority="1989" operator="containsText" text="Estourou">
      <formula>NOT(ISERROR(SEARCH("Estourou",N9)))</formula>
    </cfRule>
    <cfRule type="containsText" dxfId="35" priority="1990" operator="containsText" text="Planejado">
      <formula>NOT(ISERROR(SEARCH("Planejado",N9)))</formula>
    </cfRule>
    <cfRule type="containsText" dxfId="34" priority="1991" operator="containsText" text="Poupou">
      <formula>NOT(ISERROR(SEARCH("Poupou",N9)))</formula>
    </cfRule>
  </conditionalFormatting>
  <conditionalFormatting sqref="M199:M217 M141:M156 M20:M100 M102:M139 M158:M197 M219:M275">
    <cfRule type="cellIs" dxfId="33" priority="1982" operator="greaterThan">
      <formula>0</formula>
    </cfRule>
  </conditionalFormatting>
  <conditionalFormatting sqref="M199:M217 M141:M156 M20:M21 M32:M100 M102:M139 M158:M197 M219:M275">
    <cfRule type="cellIs" dxfId="32" priority="1980" operator="equal">
      <formula>0</formula>
    </cfRule>
  </conditionalFormatting>
  <conditionalFormatting sqref="M199:M217 M141:M156 M20:M100 M102:M139 M158:M197 M219:M275">
    <cfRule type="cellIs" dxfId="31" priority="1981" operator="lessThan">
      <formula>0</formula>
    </cfRule>
  </conditionalFormatting>
  <conditionalFormatting sqref="N276">
    <cfRule type="containsText" dxfId="30" priority="16" operator="containsText" text="Estourou">
      <formula>NOT(ISERROR(SEARCH("Estourou",N276)))</formula>
    </cfRule>
    <cfRule type="containsText" dxfId="29" priority="17" operator="containsText" text="Planejado">
      <formula>NOT(ISERROR(SEARCH("Planejado",N276)))</formula>
    </cfRule>
    <cfRule type="containsText" dxfId="28" priority="18" operator="containsText" text="Poupou">
      <formula>NOT(ISERROR(SEARCH("Poupou",N276)))</formula>
    </cfRule>
  </conditionalFormatting>
  <conditionalFormatting sqref="M276">
    <cfRule type="cellIs" dxfId="27" priority="15" operator="greaterThan">
      <formula>0</formula>
    </cfRule>
  </conditionalFormatting>
  <conditionalFormatting sqref="M276">
    <cfRule type="cellIs" dxfId="26" priority="14" operator="equal">
      <formula>0</formula>
    </cfRule>
  </conditionalFormatting>
  <conditionalFormatting sqref="M276">
    <cfRule type="cellIs" dxfId="25" priority="13" operator="lessThan">
      <formula>0</formula>
    </cfRule>
  </conditionalFormatting>
  <conditionalFormatting sqref="N277">
    <cfRule type="containsText" dxfId="24" priority="10" operator="containsText" text="Estourou">
      <formula>NOT(ISERROR(SEARCH("Estourou",N277)))</formula>
    </cfRule>
    <cfRule type="containsText" dxfId="23" priority="11" operator="containsText" text="Planejado">
      <formula>NOT(ISERROR(SEARCH("Planejado",N277)))</formula>
    </cfRule>
    <cfRule type="containsText" dxfId="22" priority="12" operator="containsText" text="Poupou">
      <formula>NOT(ISERROR(SEARCH("Poupou",N277)))</formula>
    </cfRule>
  </conditionalFormatting>
  <conditionalFormatting sqref="M277">
    <cfRule type="cellIs" dxfId="21" priority="9" operator="greaterThan">
      <formula>0</formula>
    </cfRule>
  </conditionalFormatting>
  <conditionalFormatting sqref="M277">
    <cfRule type="cellIs" dxfId="20" priority="8" operator="equal">
      <formula>0</formula>
    </cfRule>
  </conditionalFormatting>
  <conditionalFormatting sqref="M277">
    <cfRule type="cellIs" dxfId="19" priority="7" operator="lessThan">
      <formula>0</formula>
    </cfRule>
  </conditionalFormatting>
  <conditionalFormatting sqref="N278">
    <cfRule type="containsText" dxfId="18" priority="4" operator="containsText" text="Estourou">
      <formula>NOT(ISERROR(SEARCH("Estourou",N278)))</formula>
    </cfRule>
    <cfRule type="containsText" dxfId="17" priority="5" operator="containsText" text="Planejado">
      <formula>NOT(ISERROR(SEARCH("Planejado",N278)))</formula>
    </cfRule>
    <cfRule type="containsText" dxfId="16" priority="6" operator="containsText" text="Poupou">
      <formula>NOT(ISERROR(SEARCH("Poupou",N278)))</formula>
    </cfRule>
  </conditionalFormatting>
  <conditionalFormatting sqref="M278">
    <cfRule type="cellIs" dxfId="15" priority="3" operator="greaterThan">
      <formula>0</formula>
    </cfRule>
  </conditionalFormatting>
  <conditionalFormatting sqref="M278">
    <cfRule type="cellIs" dxfId="14" priority="2" operator="equal">
      <formula>0</formula>
    </cfRule>
  </conditionalFormatting>
  <conditionalFormatting sqref="M278">
    <cfRule type="cellIs" dxfId="13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D2:U37"/>
  <sheetViews>
    <sheetView workbookViewId="0">
      <selection activeCell="E41" sqref="E41"/>
    </sheetView>
  </sheetViews>
  <sheetFormatPr defaultRowHeight="15"/>
  <cols>
    <col min="3" max="3" width="16.28515625" customWidth="1"/>
    <col min="4" max="4" width="2.7109375" customWidth="1"/>
    <col min="9" max="9" width="11.28515625" customWidth="1"/>
    <col min="10" max="10" width="12.7109375" customWidth="1"/>
    <col min="11" max="11" width="22.7109375" customWidth="1"/>
    <col min="12" max="12" width="17.140625" customWidth="1"/>
    <col min="13" max="14" width="14.28515625" customWidth="1"/>
    <col min="15" max="15" width="14.7109375" customWidth="1"/>
    <col min="16" max="16" width="13.42578125" customWidth="1"/>
    <col min="20" max="20" width="2.7109375" customWidth="1"/>
  </cols>
  <sheetData>
    <row r="2" spans="4:20" ht="15.75" thickBot="1">
      <c r="D2" s="37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33"/>
    </row>
    <row r="3" spans="4:20" ht="15.75" thickBot="1">
      <c r="D3" s="157"/>
      <c r="E3" s="1019" t="s">
        <v>214</v>
      </c>
      <c r="F3" s="1020"/>
      <c r="G3" s="1020"/>
      <c r="H3" s="1020"/>
      <c r="I3" s="1020"/>
      <c r="J3" s="1020"/>
      <c r="K3" s="1020"/>
      <c r="L3" s="1020"/>
      <c r="M3" s="1020"/>
      <c r="N3" s="1020"/>
      <c r="O3" s="1020"/>
      <c r="P3" s="1020"/>
      <c r="Q3" s="1020"/>
      <c r="R3" s="1020"/>
      <c r="S3" s="1021"/>
      <c r="T3" s="175"/>
    </row>
    <row r="4" spans="4:20" ht="15.75" thickBot="1">
      <c r="D4" s="157"/>
      <c r="E4" s="1013" t="s">
        <v>118</v>
      </c>
      <c r="F4" s="1014"/>
      <c r="G4" s="1014"/>
      <c r="H4" s="1015"/>
      <c r="I4" s="281" t="s">
        <v>215</v>
      </c>
      <c r="J4" s="282" t="s">
        <v>245</v>
      </c>
      <c r="K4" s="236" t="s">
        <v>216</v>
      </c>
      <c r="L4" s="283" t="s">
        <v>217</v>
      </c>
      <c r="M4" s="284" t="s">
        <v>260</v>
      </c>
      <c r="N4" s="281" t="s">
        <v>129</v>
      </c>
      <c r="O4" s="285" t="s">
        <v>218</v>
      </c>
      <c r="P4" s="235" t="s">
        <v>219</v>
      </c>
      <c r="Q4" s="1016" t="s">
        <v>127</v>
      </c>
      <c r="R4" s="1017"/>
      <c r="S4" s="1018"/>
      <c r="T4" s="31"/>
    </row>
    <row r="5" spans="4:20">
      <c r="D5" s="157"/>
      <c r="E5" s="1022" t="s">
        <v>220</v>
      </c>
      <c r="F5" s="1023"/>
      <c r="G5" s="1023"/>
      <c r="H5" s="1024"/>
      <c r="I5" s="274">
        <v>50</v>
      </c>
      <c r="J5" s="275">
        <v>64</v>
      </c>
      <c r="K5" s="117" t="s">
        <v>236</v>
      </c>
      <c r="L5" s="276">
        <f>I5*DADOS!F32+('MÃO DE OBRA'!J5*(DADOS!F22+DADOS!F23))</f>
        <v>17396</v>
      </c>
      <c r="M5" s="277"/>
      <c r="N5" s="278"/>
      <c r="O5" s="279" t="str">
        <f>IF(N5="S",L5-M5,"")</f>
        <v/>
      </c>
      <c r="P5" s="280" t="str">
        <f>IF(N5="S",IF(O5&gt;0,"Poupou",IF(O5=0,"Planejado","Estourou")),"")</f>
        <v/>
      </c>
      <c r="Q5" s="1025"/>
      <c r="R5" s="1026"/>
      <c r="S5" s="1027"/>
      <c r="T5" s="31"/>
    </row>
    <row r="6" spans="4:20">
      <c r="D6" s="157"/>
      <c r="E6" s="1028" t="s">
        <v>221</v>
      </c>
      <c r="F6" s="1029"/>
      <c r="G6" s="1029"/>
      <c r="H6" s="1030"/>
      <c r="I6" s="188">
        <v>26</v>
      </c>
      <c r="J6" s="199"/>
      <c r="K6" s="93" t="s">
        <v>237</v>
      </c>
      <c r="L6" s="190">
        <f>DADOS!F32*'MÃO DE OBRA'!I6</f>
        <v>7082.4</v>
      </c>
      <c r="M6" s="191"/>
      <c r="N6" s="181"/>
      <c r="O6" s="195" t="str">
        <f t="shared" ref="O6:O28" si="0">IF(N6="S",L6-M6,"")</f>
        <v/>
      </c>
      <c r="P6" s="182" t="str">
        <f t="shared" ref="P6:P28" si="1">IF(N6="S",IF(O6&gt;0,"Poupou",IF(O6=0,"Planejado","Estourou")),"")</f>
        <v/>
      </c>
      <c r="Q6" s="1033"/>
      <c r="R6" s="1034"/>
      <c r="S6" s="1035"/>
      <c r="T6" s="31"/>
    </row>
    <row r="7" spans="4:20">
      <c r="D7" s="157"/>
      <c r="E7" s="1028" t="s">
        <v>61</v>
      </c>
      <c r="F7" s="1029"/>
      <c r="G7" s="1029"/>
      <c r="H7" s="1030"/>
      <c r="I7" s="188">
        <v>60</v>
      </c>
      <c r="J7" s="199"/>
      <c r="K7" s="93" t="s">
        <v>167</v>
      </c>
      <c r="L7" s="190">
        <f>DADOS!R9*'MÃO DE OBRA'!I7</f>
        <v>41664</v>
      </c>
      <c r="M7" s="191"/>
      <c r="N7" s="181"/>
      <c r="O7" s="195" t="str">
        <f t="shared" si="0"/>
        <v/>
      </c>
      <c r="P7" s="182" t="str">
        <f t="shared" si="1"/>
        <v/>
      </c>
      <c r="Q7" s="1033"/>
      <c r="R7" s="1034"/>
      <c r="S7" s="1035"/>
      <c r="T7" s="31"/>
    </row>
    <row r="8" spans="4:20">
      <c r="D8" s="157"/>
      <c r="E8" s="1028" t="s">
        <v>164</v>
      </c>
      <c r="F8" s="1029"/>
      <c r="G8" s="1029"/>
      <c r="H8" s="1030"/>
      <c r="I8" s="188">
        <v>60</v>
      </c>
      <c r="J8" s="199"/>
      <c r="K8" s="93" t="s">
        <v>167</v>
      </c>
      <c r="L8" s="190">
        <f>DADOS!F12*'MÃO DE OBRA'!I8</f>
        <v>14815.199999999999</v>
      </c>
      <c r="M8" s="191"/>
      <c r="N8" s="181"/>
      <c r="O8" s="195" t="str">
        <f t="shared" si="0"/>
        <v/>
      </c>
      <c r="P8" s="182" t="str">
        <f t="shared" si="1"/>
        <v/>
      </c>
      <c r="Q8" s="1033"/>
      <c r="R8" s="1034"/>
      <c r="S8" s="1035"/>
      <c r="T8" s="31"/>
    </row>
    <row r="9" spans="4:20">
      <c r="D9" s="157"/>
      <c r="E9" s="1031" t="s">
        <v>232</v>
      </c>
      <c r="F9" s="929"/>
      <c r="G9" s="929"/>
      <c r="H9" s="1032"/>
      <c r="I9" s="188">
        <v>1000</v>
      </c>
      <c r="J9" s="199"/>
      <c r="K9" s="93" t="s">
        <v>239</v>
      </c>
      <c r="L9" s="190">
        <f>I9</f>
        <v>1000</v>
      </c>
      <c r="M9" s="191"/>
      <c r="N9" s="181"/>
      <c r="O9" s="195" t="str">
        <f t="shared" si="0"/>
        <v/>
      </c>
      <c r="P9" s="182" t="str">
        <f t="shared" si="1"/>
        <v/>
      </c>
      <c r="Q9" s="946"/>
      <c r="R9" s="947"/>
      <c r="S9" s="1036"/>
      <c r="T9" s="31"/>
    </row>
    <row r="10" spans="4:20">
      <c r="D10" s="157"/>
      <c r="E10" s="1028" t="s">
        <v>173</v>
      </c>
      <c r="F10" s="1029"/>
      <c r="G10" s="1029"/>
      <c r="H10" s="1030"/>
      <c r="I10" s="188">
        <v>80</v>
      </c>
      <c r="J10" s="199"/>
      <c r="K10" s="93"/>
      <c r="L10" s="190">
        <f>I10*DADOS!F12</f>
        <v>19753.599999999999</v>
      </c>
      <c r="M10" s="191"/>
      <c r="N10" s="181"/>
      <c r="O10" s="195" t="str">
        <f t="shared" si="0"/>
        <v/>
      </c>
      <c r="P10" s="182" t="str">
        <f t="shared" si="1"/>
        <v/>
      </c>
      <c r="Q10" s="1033"/>
      <c r="R10" s="1034"/>
      <c r="S10" s="1035"/>
      <c r="T10" s="31"/>
    </row>
    <row r="11" spans="4:20">
      <c r="D11" s="157"/>
      <c r="E11" s="1028" t="s">
        <v>222</v>
      </c>
      <c r="F11" s="1029"/>
      <c r="G11" s="1029"/>
      <c r="H11" s="1030"/>
      <c r="I11" s="188">
        <v>110</v>
      </c>
      <c r="J11" s="199"/>
      <c r="K11" s="93" t="s">
        <v>238</v>
      </c>
      <c r="L11" s="190">
        <f>I11*((DADOS!F13+DADOS!F14+DADOS!F15+DADOS!F16+DADOS!F17)+2)</f>
        <v>1430</v>
      </c>
      <c r="M11" s="191"/>
      <c r="N11" s="181"/>
      <c r="O11" s="195" t="str">
        <f t="shared" si="0"/>
        <v/>
      </c>
      <c r="P11" s="182" t="str">
        <f t="shared" si="1"/>
        <v/>
      </c>
      <c r="Q11" s="1033"/>
      <c r="R11" s="1034"/>
      <c r="S11" s="1035"/>
      <c r="T11" s="31"/>
    </row>
    <row r="12" spans="4:20">
      <c r="D12" s="157"/>
      <c r="E12" s="1028" t="s">
        <v>223</v>
      </c>
      <c r="F12" s="1029"/>
      <c r="G12" s="1029"/>
      <c r="H12" s="1030"/>
      <c r="I12" s="188">
        <v>50</v>
      </c>
      <c r="J12" s="199"/>
      <c r="K12" s="93" t="s">
        <v>167</v>
      </c>
      <c r="L12" s="190">
        <f>I12*DADOS!R9*DADOS!S56</f>
        <v>69440</v>
      </c>
      <c r="M12" s="191"/>
      <c r="N12" s="181"/>
      <c r="O12" s="195" t="str">
        <f t="shared" si="0"/>
        <v/>
      </c>
      <c r="P12" s="182" t="str">
        <f t="shared" si="1"/>
        <v/>
      </c>
      <c r="Q12" s="1033"/>
      <c r="R12" s="1034"/>
      <c r="S12" s="1035"/>
      <c r="T12" s="31"/>
    </row>
    <row r="13" spans="4:20">
      <c r="D13" s="157"/>
      <c r="E13" s="1028" t="s">
        <v>224</v>
      </c>
      <c r="F13" s="1029"/>
      <c r="G13" s="1029"/>
      <c r="H13" s="1030"/>
      <c r="I13" s="188">
        <v>54</v>
      </c>
      <c r="J13" s="199"/>
      <c r="K13" s="93" t="s">
        <v>167</v>
      </c>
      <c r="L13" s="190">
        <f>I13*DADOS!F12</f>
        <v>13333.679999999998</v>
      </c>
      <c r="M13" s="191"/>
      <c r="N13" s="181"/>
      <c r="O13" s="195" t="str">
        <f t="shared" si="0"/>
        <v/>
      </c>
      <c r="P13" s="182" t="str">
        <f t="shared" si="1"/>
        <v/>
      </c>
      <c r="Q13" s="1033"/>
      <c r="R13" s="1034"/>
      <c r="S13" s="1035"/>
      <c r="T13" s="31"/>
    </row>
    <row r="14" spans="4:20">
      <c r="D14" s="157"/>
      <c r="E14" s="1028" t="s">
        <v>225</v>
      </c>
      <c r="F14" s="1029"/>
      <c r="G14" s="1029"/>
      <c r="H14" s="1030"/>
      <c r="I14" s="188">
        <v>49</v>
      </c>
      <c r="J14" s="199"/>
      <c r="K14" s="93" t="s">
        <v>167</v>
      </c>
      <c r="L14" s="190">
        <f>I14*DADOS!F12</f>
        <v>12099.08</v>
      </c>
      <c r="M14" s="191"/>
      <c r="N14" s="181"/>
      <c r="O14" s="195" t="str">
        <f t="shared" si="0"/>
        <v/>
      </c>
      <c r="P14" s="182" t="str">
        <f t="shared" si="1"/>
        <v/>
      </c>
      <c r="Q14" s="1033"/>
      <c r="R14" s="1034"/>
      <c r="S14" s="1035"/>
      <c r="T14" s="31"/>
    </row>
    <row r="15" spans="4:20">
      <c r="D15" s="157"/>
      <c r="E15" s="1028" t="s">
        <v>226</v>
      </c>
      <c r="F15" s="1029"/>
      <c r="G15" s="1029"/>
      <c r="H15" s="1030"/>
      <c r="I15" s="188">
        <v>15</v>
      </c>
      <c r="J15" s="199"/>
      <c r="K15" s="93" t="s">
        <v>167</v>
      </c>
      <c r="L15" s="190">
        <f>I15*1.1*DADOS!F32</f>
        <v>4494.5999999999995</v>
      </c>
      <c r="M15" s="191"/>
      <c r="N15" s="181"/>
      <c r="O15" s="195" t="str">
        <f t="shared" si="0"/>
        <v/>
      </c>
      <c r="P15" s="182" t="str">
        <f t="shared" si="1"/>
        <v/>
      </c>
      <c r="Q15" s="1033"/>
      <c r="R15" s="1034"/>
      <c r="S15" s="1035"/>
      <c r="T15" s="31"/>
    </row>
    <row r="16" spans="4:20">
      <c r="D16" s="157"/>
      <c r="E16" s="1028" t="s">
        <v>227</v>
      </c>
      <c r="F16" s="1029"/>
      <c r="G16" s="1029"/>
      <c r="H16" s="1030"/>
      <c r="I16" s="188">
        <v>35</v>
      </c>
      <c r="J16" s="199"/>
      <c r="K16" s="93" t="s">
        <v>167</v>
      </c>
      <c r="L16" s="190">
        <f>I16*(0.9*DADOS!F12)</f>
        <v>7777.98</v>
      </c>
      <c r="M16" s="191"/>
      <c r="N16" s="181"/>
      <c r="O16" s="195" t="str">
        <f t="shared" si="0"/>
        <v/>
      </c>
      <c r="P16" s="182" t="str">
        <f t="shared" si="1"/>
        <v/>
      </c>
      <c r="Q16" s="1033"/>
      <c r="R16" s="1034"/>
      <c r="S16" s="1035"/>
      <c r="T16" s="31"/>
    </row>
    <row r="17" spans="4:20">
      <c r="D17" s="157"/>
      <c r="E17" s="1028" t="s">
        <v>188</v>
      </c>
      <c r="F17" s="1029"/>
      <c r="G17" s="1029"/>
      <c r="H17" s="1030"/>
      <c r="I17" s="188">
        <v>35</v>
      </c>
      <c r="J17" s="199"/>
      <c r="K17" s="93" t="s">
        <v>167</v>
      </c>
      <c r="L17" s="190">
        <f>I17*'LISTA MATERIAIS'!F69</f>
        <v>11792.199999999999</v>
      </c>
      <c r="M17" s="191"/>
      <c r="N17" s="181"/>
      <c r="O17" s="195" t="str">
        <f t="shared" si="0"/>
        <v/>
      </c>
      <c r="P17" s="182" t="str">
        <f t="shared" si="1"/>
        <v/>
      </c>
      <c r="Q17" s="1033"/>
      <c r="R17" s="1034"/>
      <c r="S17" s="1035"/>
      <c r="T17" s="31"/>
    </row>
    <row r="18" spans="4:20">
      <c r="D18" s="157"/>
      <c r="E18" s="1028" t="s">
        <v>183</v>
      </c>
      <c r="F18" s="1029"/>
      <c r="G18" s="1029"/>
      <c r="H18" s="1030"/>
      <c r="I18" s="188">
        <v>180</v>
      </c>
      <c r="J18" s="199"/>
      <c r="K18" s="93" t="s">
        <v>240</v>
      </c>
      <c r="L18" s="190">
        <f>('LISTA MATERIAIS'!F59+'LISTA MATERIAIS'!F64+'LISTA MATERIAIS'!F65)*I18</f>
        <v>6120</v>
      </c>
      <c r="M18" s="191"/>
      <c r="N18" s="181"/>
      <c r="O18" s="195" t="str">
        <f t="shared" si="0"/>
        <v/>
      </c>
      <c r="P18" s="182" t="str">
        <f t="shared" si="1"/>
        <v/>
      </c>
      <c r="Q18" s="1033"/>
      <c r="R18" s="1034"/>
      <c r="S18" s="1035"/>
      <c r="T18" s="31"/>
    </row>
    <row r="19" spans="4:20">
      <c r="D19" s="157"/>
      <c r="E19" s="1031" t="s">
        <v>228</v>
      </c>
      <c r="F19" s="929"/>
      <c r="G19" s="929"/>
      <c r="H19" s="1032"/>
      <c r="I19" s="188">
        <v>50</v>
      </c>
      <c r="J19" s="199"/>
      <c r="K19" s="93" t="s">
        <v>167</v>
      </c>
      <c r="L19" s="190">
        <f>I19*DADOS!R9*DADOS!S56</f>
        <v>69440</v>
      </c>
      <c r="M19" s="191"/>
      <c r="N19" s="181"/>
      <c r="O19" s="195" t="str">
        <f t="shared" si="0"/>
        <v/>
      </c>
      <c r="P19" s="182" t="str">
        <f t="shared" si="1"/>
        <v/>
      </c>
      <c r="Q19" s="1033"/>
      <c r="R19" s="1034"/>
      <c r="S19" s="1035"/>
      <c r="T19" s="31"/>
    </row>
    <row r="20" spans="4:20">
      <c r="D20" s="157"/>
      <c r="E20" s="1031" t="s">
        <v>229</v>
      </c>
      <c r="F20" s="929"/>
      <c r="G20" s="929"/>
      <c r="H20" s="1032"/>
      <c r="I20" s="188">
        <v>110</v>
      </c>
      <c r="J20" s="199"/>
      <c r="K20" s="93" t="s">
        <v>241</v>
      </c>
      <c r="L20" s="190">
        <f>I20*(DADOS!F13+DADOS!F15+DADOS!F16+DADOS!F14)</f>
        <v>880</v>
      </c>
      <c r="M20" s="191"/>
      <c r="N20" s="181"/>
      <c r="O20" s="195" t="str">
        <f t="shared" si="0"/>
        <v/>
      </c>
      <c r="P20" s="182" t="str">
        <f t="shared" si="1"/>
        <v/>
      </c>
      <c r="Q20" s="1033"/>
      <c r="R20" s="1034"/>
      <c r="S20" s="1035"/>
      <c r="T20" s="31"/>
    </row>
    <row r="21" spans="4:20">
      <c r="D21" s="157"/>
      <c r="E21" s="1031" t="s">
        <v>230</v>
      </c>
      <c r="F21" s="929"/>
      <c r="G21" s="929"/>
      <c r="H21" s="1032"/>
      <c r="I21" s="188">
        <v>310</v>
      </c>
      <c r="J21" s="199"/>
      <c r="K21" s="93" t="s">
        <v>242</v>
      </c>
      <c r="L21" s="190">
        <f>I21*(DADOS!F13+DADOS!F14+DADOS!F15+DADOS!F17)</f>
        <v>3100</v>
      </c>
      <c r="M21" s="191"/>
      <c r="N21" s="181"/>
      <c r="O21" s="195" t="str">
        <f t="shared" si="0"/>
        <v/>
      </c>
      <c r="P21" s="182" t="str">
        <f t="shared" si="1"/>
        <v/>
      </c>
      <c r="Q21" s="1033"/>
      <c r="R21" s="1034"/>
      <c r="S21" s="1035"/>
      <c r="T21" s="31"/>
    </row>
    <row r="22" spans="4:20">
      <c r="D22" s="157"/>
      <c r="E22" s="1031" t="s">
        <v>231</v>
      </c>
      <c r="F22" s="929"/>
      <c r="G22" s="929"/>
      <c r="H22" s="1032"/>
      <c r="I22" s="188">
        <v>50</v>
      </c>
      <c r="J22" s="199" t="s">
        <v>235</v>
      </c>
      <c r="K22" s="93" t="s">
        <v>239</v>
      </c>
      <c r="L22" s="190">
        <f>I22*DADOS!S82*(DADOS!F13+DADOS!F14+DADOS!F15+DADOS!F16+DADOS!F17+DADOS!F18)</f>
        <v>4200</v>
      </c>
      <c r="M22" s="191"/>
      <c r="N22" s="181"/>
      <c r="O22" s="195" t="str">
        <f t="shared" si="0"/>
        <v/>
      </c>
      <c r="P22" s="182" t="str">
        <f t="shared" si="1"/>
        <v/>
      </c>
      <c r="Q22" s="1033"/>
      <c r="R22" s="1034"/>
      <c r="S22" s="1035"/>
      <c r="T22" s="31"/>
    </row>
    <row r="23" spans="4:20">
      <c r="D23" s="157"/>
      <c r="E23" s="1028" t="s">
        <v>233</v>
      </c>
      <c r="F23" s="1029"/>
      <c r="G23" s="1029"/>
      <c r="H23" s="1030"/>
      <c r="I23" s="188">
        <v>90</v>
      </c>
      <c r="J23" s="199"/>
      <c r="K23" s="93" t="s">
        <v>243</v>
      </c>
      <c r="L23" s="190">
        <f>J23*I23</f>
        <v>0</v>
      </c>
      <c r="M23" s="191"/>
      <c r="N23" s="181"/>
      <c r="O23" s="195" t="str">
        <f t="shared" si="0"/>
        <v/>
      </c>
      <c r="P23" s="182" t="str">
        <f t="shared" si="1"/>
        <v/>
      </c>
      <c r="Q23" s="1033"/>
      <c r="R23" s="1034"/>
      <c r="S23" s="1035"/>
      <c r="T23" s="31"/>
    </row>
    <row r="24" spans="4:20">
      <c r="D24" s="157"/>
      <c r="E24" s="1028" t="s">
        <v>234</v>
      </c>
      <c r="F24" s="1029"/>
      <c r="G24" s="1029"/>
      <c r="H24" s="1030"/>
      <c r="I24" s="188">
        <v>25</v>
      </c>
      <c r="J24" s="199"/>
      <c r="K24" s="93" t="s">
        <v>239</v>
      </c>
      <c r="L24" s="190">
        <f>I24*DADOS!F34*DADOS!F35</f>
        <v>600</v>
      </c>
      <c r="M24" s="191"/>
      <c r="N24" s="181"/>
      <c r="O24" s="195" t="str">
        <f t="shared" si="0"/>
        <v/>
      </c>
      <c r="P24" s="182" t="str">
        <f t="shared" si="1"/>
        <v/>
      </c>
      <c r="Q24" s="1033"/>
      <c r="R24" s="1034"/>
      <c r="S24" s="1035"/>
      <c r="T24" s="31"/>
    </row>
    <row r="25" spans="4:20">
      <c r="D25" s="157"/>
      <c r="E25" s="1028" t="s">
        <v>1119</v>
      </c>
      <c r="F25" s="1029"/>
      <c r="G25" s="1029"/>
      <c r="H25" s="1030"/>
      <c r="I25" s="188">
        <v>8000</v>
      </c>
      <c r="J25" s="199"/>
      <c r="K25" s="93"/>
      <c r="L25" s="190">
        <f>I25</f>
        <v>8000</v>
      </c>
      <c r="M25" s="191"/>
      <c r="N25" s="181"/>
      <c r="O25" s="195" t="str">
        <f t="shared" si="0"/>
        <v/>
      </c>
      <c r="P25" s="182" t="str">
        <f t="shared" si="1"/>
        <v/>
      </c>
      <c r="Q25" s="1033"/>
      <c r="R25" s="1034"/>
      <c r="S25" s="1035"/>
      <c r="T25" s="31"/>
    </row>
    <row r="26" spans="4:20">
      <c r="D26" s="157"/>
      <c r="E26" s="1028"/>
      <c r="F26" s="1029"/>
      <c r="G26" s="1029"/>
      <c r="H26" s="1030"/>
      <c r="I26" s="188"/>
      <c r="J26" s="199"/>
      <c r="K26" s="93"/>
      <c r="L26" s="190"/>
      <c r="M26" s="191"/>
      <c r="N26" s="181"/>
      <c r="O26" s="195" t="str">
        <f t="shared" si="0"/>
        <v/>
      </c>
      <c r="P26" s="182" t="str">
        <f t="shared" si="1"/>
        <v/>
      </c>
      <c r="Q26" s="1033"/>
      <c r="R26" s="1034"/>
      <c r="S26" s="1035"/>
      <c r="T26" s="31"/>
    </row>
    <row r="27" spans="4:20" ht="15.75" thickBot="1">
      <c r="D27" s="157"/>
      <c r="E27" s="1037"/>
      <c r="F27" s="1038"/>
      <c r="G27" s="1038"/>
      <c r="H27" s="1039"/>
      <c r="I27" s="189"/>
      <c r="J27" s="200"/>
      <c r="K27" s="187"/>
      <c r="L27" s="192"/>
      <c r="M27" s="193"/>
      <c r="N27" s="183"/>
      <c r="O27" s="196" t="str">
        <f t="shared" si="0"/>
        <v/>
      </c>
      <c r="P27" s="184" t="str">
        <f t="shared" si="1"/>
        <v/>
      </c>
      <c r="Q27" s="1040"/>
      <c r="R27" s="1041"/>
      <c r="S27" s="1042"/>
      <c r="T27" s="31"/>
    </row>
    <row r="28" spans="4:20" ht="15.75" thickBot="1">
      <c r="D28" s="157"/>
      <c r="E28" s="1043" t="s">
        <v>291</v>
      </c>
      <c r="F28" s="1044"/>
      <c r="G28" s="1044"/>
      <c r="H28" s="1045"/>
      <c r="I28" s="185"/>
      <c r="J28" s="198"/>
      <c r="K28" s="186"/>
      <c r="L28" s="194">
        <f>SUM(L5:L27)</f>
        <v>314418.74</v>
      </c>
      <c r="M28" s="194">
        <f>SUM(M5:M27)</f>
        <v>0</v>
      </c>
      <c r="N28" s="185"/>
      <c r="O28" s="197" t="str">
        <f t="shared" si="0"/>
        <v/>
      </c>
      <c r="P28" s="186" t="str">
        <f t="shared" si="1"/>
        <v/>
      </c>
      <c r="Q28" s="1046"/>
      <c r="R28" s="1047"/>
      <c r="S28" s="1048"/>
      <c r="T28" s="31"/>
    </row>
    <row r="29" spans="4:20" ht="6" customHeight="1" thickBot="1">
      <c r="D29" s="46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71"/>
      <c r="P29" s="71"/>
      <c r="Q29" s="71"/>
      <c r="R29" s="39"/>
      <c r="S29" s="39"/>
      <c r="T29" s="32"/>
    </row>
    <row r="30" spans="4:20" ht="15.75" thickBot="1">
      <c r="O30" s="1053" t="s">
        <v>258</v>
      </c>
      <c r="P30" s="1054"/>
      <c r="Q30" s="1054"/>
      <c r="R30" s="1051">
        <f>M28</f>
        <v>0</v>
      </c>
      <c r="S30" s="1052"/>
    </row>
    <row r="32" spans="4:20" ht="3" customHeight="1">
      <c r="M32" s="24"/>
      <c r="N32" s="24"/>
      <c r="O32" s="24"/>
      <c r="P32" s="24"/>
      <c r="Q32" s="24"/>
      <c r="R32" s="24"/>
      <c r="S32" s="24"/>
      <c r="T32" s="24"/>
    </row>
    <row r="33" spans="13:21">
      <c r="M33" s="24"/>
      <c r="N33" s="24"/>
      <c r="O33" s="865"/>
      <c r="P33" s="865"/>
      <c r="Q33" s="1049"/>
      <c r="R33" s="1050"/>
      <c r="S33" s="24"/>
      <c r="T33" s="24"/>
    </row>
    <row r="34" spans="13:21">
      <c r="N34" s="24"/>
      <c r="O34" s="865"/>
      <c r="P34" s="865"/>
      <c r="Q34" s="1049"/>
      <c r="R34" s="1050"/>
      <c r="S34" s="24"/>
      <c r="T34" s="24"/>
    </row>
    <row r="35" spans="13:21">
      <c r="N35" s="24"/>
      <c r="O35" s="24"/>
      <c r="P35" s="24"/>
      <c r="Q35" s="24"/>
      <c r="R35" s="24"/>
      <c r="S35" s="24"/>
      <c r="T35" s="24"/>
      <c r="U35" s="24"/>
    </row>
    <row r="36" spans="13:21" ht="2.25" customHeight="1">
      <c r="N36" s="24"/>
      <c r="O36" s="24"/>
      <c r="P36" s="24"/>
      <c r="Q36" s="24"/>
      <c r="R36" s="24"/>
      <c r="S36" s="24"/>
      <c r="T36" s="24"/>
      <c r="U36" s="24"/>
    </row>
    <row r="37" spans="13:21">
      <c r="N37" s="24"/>
      <c r="O37" s="24"/>
      <c r="P37" s="24"/>
      <c r="Q37" s="24"/>
      <c r="R37" s="24"/>
      <c r="S37" s="24"/>
      <c r="T37" s="24"/>
      <c r="U37" s="24"/>
    </row>
  </sheetData>
  <mergeCells count="57">
    <mergeCell ref="O34:P34"/>
    <mergeCell ref="Q34:R34"/>
    <mergeCell ref="O33:P33"/>
    <mergeCell ref="Q33:R33"/>
    <mergeCell ref="R30:S30"/>
    <mergeCell ref="O30:Q30"/>
    <mergeCell ref="E26:H26"/>
    <mergeCell ref="E27:H27"/>
    <mergeCell ref="Q26:S26"/>
    <mergeCell ref="Q27:S27"/>
    <mergeCell ref="E28:H28"/>
    <mergeCell ref="Q28:S28"/>
    <mergeCell ref="E24:H24"/>
    <mergeCell ref="E25:H25"/>
    <mergeCell ref="Q19:S19"/>
    <mergeCell ref="Q20:S20"/>
    <mergeCell ref="Q21:S21"/>
    <mergeCell ref="Q22:S22"/>
    <mergeCell ref="Q23:S23"/>
    <mergeCell ref="Q24:S24"/>
    <mergeCell ref="Q25:S25"/>
    <mergeCell ref="E19:H19"/>
    <mergeCell ref="E20:H20"/>
    <mergeCell ref="E21:H21"/>
    <mergeCell ref="E22:H22"/>
    <mergeCell ref="E23:H23"/>
    <mergeCell ref="Q18:S18"/>
    <mergeCell ref="Q6:S6"/>
    <mergeCell ref="Q7:S7"/>
    <mergeCell ref="Q8:S8"/>
    <mergeCell ref="Q10:S10"/>
    <mergeCell ref="Q11:S11"/>
    <mergeCell ref="Q12:S12"/>
    <mergeCell ref="Q9:S9"/>
    <mergeCell ref="Q13:S13"/>
    <mergeCell ref="Q14:S14"/>
    <mergeCell ref="Q15:S15"/>
    <mergeCell ref="Q16:S16"/>
    <mergeCell ref="Q17:S17"/>
    <mergeCell ref="E18:H18"/>
    <mergeCell ref="E6:H6"/>
    <mergeCell ref="E7:H7"/>
    <mergeCell ref="E8:H8"/>
    <mergeCell ref="E10:H10"/>
    <mergeCell ref="E11:H11"/>
    <mergeCell ref="E12:H12"/>
    <mergeCell ref="E9:H9"/>
    <mergeCell ref="E13:H13"/>
    <mergeCell ref="E14:H14"/>
    <mergeCell ref="E15:H15"/>
    <mergeCell ref="E16:H16"/>
    <mergeCell ref="E17:H17"/>
    <mergeCell ref="E4:H4"/>
    <mergeCell ref="Q4:S4"/>
    <mergeCell ref="E3:S3"/>
    <mergeCell ref="E5:H5"/>
    <mergeCell ref="Q5:S5"/>
  </mergeCells>
  <conditionalFormatting sqref="P5:P28">
    <cfRule type="containsText" dxfId="12" priority="5" operator="containsText" text="Poupou">
      <formula>NOT(ISERROR(SEARCH("Poupou",P5)))</formula>
    </cfRule>
    <cfRule type="containsText" dxfId="11" priority="6" operator="containsText" text="Planejado">
      <formula>NOT(ISERROR(SEARCH("Planejado",P5)))</formula>
    </cfRule>
    <cfRule type="containsText" dxfId="10" priority="7" operator="containsText" text="Estourou">
      <formula>NOT(ISERROR(SEARCH("Estourou",P5)))</formula>
    </cfRule>
  </conditionalFormatting>
  <conditionalFormatting sqref="O5:O28">
    <cfRule type="cellIs" dxfId="9" priority="2" operator="lessThan">
      <formula>0</formula>
    </cfRule>
    <cfRule type="cellIs" dxfId="8" priority="3" operator="greaterThan">
      <formula>0</formula>
    </cfRule>
    <cfRule type="cellIs" dxfId="7" priority="4" operator="equal">
      <formula>0</formula>
    </cfRule>
  </conditionalFormatting>
  <conditionalFormatting sqref="N5:N27">
    <cfRule type="containsText" dxfId="6" priority="1" operator="containsText" text="S">
      <formula>NOT(ISERROR(SEARCH("S",N5)))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F5:N27"/>
  <sheetViews>
    <sheetView workbookViewId="0">
      <selection activeCell="J22" sqref="J22"/>
    </sheetView>
  </sheetViews>
  <sheetFormatPr defaultRowHeight="15"/>
  <cols>
    <col min="6" max="6" width="2.7109375" customWidth="1"/>
    <col min="9" max="9" width="13.85546875" customWidth="1"/>
    <col min="10" max="10" width="17.140625" customWidth="1"/>
    <col min="11" max="11" width="14.5703125" customWidth="1"/>
    <col min="12" max="12" width="13" customWidth="1"/>
    <col min="13" max="13" width="14.28515625" customWidth="1"/>
    <col min="14" max="14" width="2.7109375" customWidth="1"/>
  </cols>
  <sheetData>
    <row r="5" spans="6:14" ht="15.75" thickBot="1"/>
    <row r="6" spans="6:14" ht="8.25" customHeight="1" thickBot="1">
      <c r="F6" s="247"/>
      <c r="G6" s="215"/>
      <c r="H6" s="215"/>
      <c r="I6" s="215"/>
      <c r="J6" s="215"/>
      <c r="K6" s="215"/>
      <c r="L6" s="215"/>
      <c r="M6" s="215"/>
      <c r="N6" s="253"/>
    </row>
    <row r="7" spans="6:14" ht="15.75" thickBot="1">
      <c r="F7" s="220"/>
      <c r="G7" s="1058" t="s">
        <v>396</v>
      </c>
      <c r="H7" s="1059"/>
      <c r="I7" s="1059"/>
      <c r="J7" s="1059"/>
      <c r="K7" s="1059"/>
      <c r="L7" s="1059"/>
      <c r="M7" s="1060"/>
      <c r="N7" s="254"/>
    </row>
    <row r="8" spans="6:14">
      <c r="F8" s="220"/>
      <c r="G8" s="1066" t="s">
        <v>397</v>
      </c>
      <c r="H8" s="1067"/>
      <c r="I8" s="1068"/>
      <c r="J8" s="1064" t="s">
        <v>120</v>
      </c>
      <c r="K8" s="1064" t="s">
        <v>259</v>
      </c>
      <c r="L8" s="1061" t="s">
        <v>124</v>
      </c>
      <c r="M8" s="1062"/>
      <c r="N8" s="254"/>
    </row>
    <row r="9" spans="6:14" ht="15.75" thickBot="1">
      <c r="F9" s="257"/>
      <c r="G9" s="1069"/>
      <c r="H9" s="1070"/>
      <c r="I9" s="1071"/>
      <c r="J9" s="1065"/>
      <c r="K9" s="1065"/>
      <c r="L9" s="258" t="s">
        <v>126</v>
      </c>
      <c r="M9" s="269" t="s">
        <v>125</v>
      </c>
      <c r="N9" s="254"/>
    </row>
    <row r="10" spans="6:14">
      <c r="F10" s="257"/>
      <c r="G10" s="1055" t="s">
        <v>398</v>
      </c>
      <c r="H10" s="1056"/>
      <c r="I10" s="1057"/>
      <c r="J10" s="260">
        <f>'LISTA MATERIAIS'!H20</f>
        <v>100043.51108240944</v>
      </c>
      <c r="K10" s="265">
        <f>'LISTA MATERIAIS'!K20</f>
        <v>0</v>
      </c>
      <c r="L10" s="268">
        <f>J10-K10</f>
        <v>100043.51108240944</v>
      </c>
      <c r="M10" s="272" t="str">
        <f>IF(L10&gt;0,"Poupou",IF(L10=0,"Planejado","Estourou"))</f>
        <v>Poupou</v>
      </c>
      <c r="N10" s="254"/>
    </row>
    <row r="11" spans="6:14">
      <c r="F11" s="257"/>
      <c r="G11" s="1031" t="s">
        <v>61</v>
      </c>
      <c r="H11" s="929"/>
      <c r="I11" s="1032"/>
      <c r="J11" s="261">
        <f>'LISTA MATERIAIS'!H32</f>
        <v>24907.708190666668</v>
      </c>
      <c r="K11" s="266">
        <f>'LISTA MATERIAIS'!K32</f>
        <v>0</v>
      </c>
      <c r="L11" s="264">
        <f t="shared" ref="L11:L25" si="0">J11-K11</f>
        <v>24907.708190666668</v>
      </c>
      <c r="M11" s="271" t="str">
        <f>IF(L11&gt;0,"Poupou",IF(L11=0,"Planejado","Estourou"))</f>
        <v>Poupou</v>
      </c>
      <c r="N11" s="254"/>
    </row>
    <row r="12" spans="6:14">
      <c r="F12" s="257"/>
      <c r="G12" s="1031" t="s">
        <v>164</v>
      </c>
      <c r="H12" s="929"/>
      <c r="I12" s="1032"/>
      <c r="J12" s="261">
        <f>'LISTA MATERIAIS'!H40</f>
        <v>29249.432727272728</v>
      </c>
      <c r="K12" s="266">
        <f>'LISTA MATERIAIS'!K40</f>
        <v>0</v>
      </c>
      <c r="L12" s="264">
        <f t="shared" si="0"/>
        <v>29249.432727272728</v>
      </c>
      <c r="M12" s="271" t="str">
        <f t="shared" ref="M12:M24" si="1">IF(L12&gt;0,"Poupou",IF(L12=0,"Planejado","Estourou"))</f>
        <v>Poupou</v>
      </c>
      <c r="N12" s="254"/>
    </row>
    <row r="13" spans="6:14">
      <c r="F13" s="257"/>
      <c r="G13" s="929" t="s">
        <v>171</v>
      </c>
      <c r="H13" s="929"/>
      <c r="I13" s="1032"/>
      <c r="J13" s="261">
        <f>'LISTA MATERIAIS'!H43</f>
        <v>888.91199999999992</v>
      </c>
      <c r="K13" s="266">
        <f>'LISTA MATERIAIS'!K43</f>
        <v>0</v>
      </c>
      <c r="L13" s="264">
        <f t="shared" si="0"/>
        <v>888.91199999999992</v>
      </c>
      <c r="M13" s="271" t="str">
        <f t="shared" si="1"/>
        <v>Poupou</v>
      </c>
      <c r="N13" s="254"/>
    </row>
    <row r="14" spans="6:14">
      <c r="F14" s="257"/>
      <c r="G14" s="929" t="s">
        <v>173</v>
      </c>
      <c r="H14" s="929"/>
      <c r="I14" s="1032"/>
      <c r="J14" s="261">
        <f>'LISTA MATERIAIS'!H50</f>
        <v>13160.856000000002</v>
      </c>
      <c r="K14" s="266">
        <f>'LISTA MATERIAIS'!K50</f>
        <v>0</v>
      </c>
      <c r="L14" s="264">
        <f t="shared" si="0"/>
        <v>13160.856000000002</v>
      </c>
      <c r="M14" s="271" t="str">
        <f t="shared" si="1"/>
        <v>Poupou</v>
      </c>
      <c r="N14" s="254"/>
    </row>
    <row r="15" spans="6:14">
      <c r="F15" s="257"/>
      <c r="G15" s="929" t="s">
        <v>181</v>
      </c>
      <c r="H15" s="929"/>
      <c r="I15" s="1032"/>
      <c r="J15" s="261">
        <f>'LISTA MATERIAIS'!H54</f>
        <v>6409.8461538461534</v>
      </c>
      <c r="K15" s="266">
        <f>'LISTA MATERIAIS'!K54</f>
        <v>0</v>
      </c>
      <c r="L15" s="264">
        <f t="shared" si="0"/>
        <v>6409.8461538461534</v>
      </c>
      <c r="M15" s="271" t="str">
        <f t="shared" si="1"/>
        <v>Poupou</v>
      </c>
      <c r="N15" s="254"/>
    </row>
    <row r="16" spans="6:14">
      <c r="F16" s="257"/>
      <c r="G16" s="929" t="s">
        <v>399</v>
      </c>
      <c r="H16" s="929"/>
      <c r="I16" s="1032"/>
      <c r="J16" s="261">
        <f>'LISTA MATERIAIS'!H58</f>
        <v>5689.32</v>
      </c>
      <c r="K16" s="266">
        <f>'LISTA MATERIAIS'!K58</f>
        <v>0</v>
      </c>
      <c r="L16" s="264">
        <f t="shared" si="0"/>
        <v>5689.32</v>
      </c>
      <c r="M16" s="271" t="str">
        <f t="shared" si="1"/>
        <v>Poupou</v>
      </c>
      <c r="N16" s="254"/>
    </row>
    <row r="17" spans="6:14">
      <c r="F17" s="257"/>
      <c r="G17" s="929" t="s">
        <v>183</v>
      </c>
      <c r="H17" s="929"/>
      <c r="I17" s="1032"/>
      <c r="J17" s="261">
        <f>'LISTA MATERIAIS'!H68</f>
        <v>13434</v>
      </c>
      <c r="K17" s="266">
        <f>'LISTA MATERIAIS'!K68</f>
        <v>0</v>
      </c>
      <c r="L17" s="264">
        <f t="shared" si="0"/>
        <v>13434</v>
      </c>
      <c r="M17" s="271" t="str">
        <f t="shared" si="1"/>
        <v>Poupou</v>
      </c>
      <c r="N17" s="254"/>
    </row>
    <row r="18" spans="6:14">
      <c r="F18" s="257"/>
      <c r="G18" s="929" t="s">
        <v>188</v>
      </c>
      <c r="H18" s="929"/>
      <c r="I18" s="1032"/>
      <c r="J18" s="261">
        <f>'LISTA MATERIAIS'!H77</f>
        <v>18001.393333333333</v>
      </c>
      <c r="K18" s="266">
        <f>'LISTA MATERIAIS'!K77</f>
        <v>0</v>
      </c>
      <c r="L18" s="264">
        <f t="shared" si="0"/>
        <v>18001.393333333333</v>
      </c>
      <c r="M18" s="271" t="str">
        <f t="shared" si="1"/>
        <v>Poupou</v>
      </c>
      <c r="N18" s="254"/>
    </row>
    <row r="19" spans="6:14">
      <c r="F19" s="257"/>
      <c r="G19" s="929" t="s">
        <v>196</v>
      </c>
      <c r="H19" s="929"/>
      <c r="I19" s="1032"/>
      <c r="J19" s="261">
        <f>'LISTA MATERIAIS'!H91</f>
        <v>14071.997271708684</v>
      </c>
      <c r="K19" s="266">
        <f>'LISTA MATERIAIS'!K91</f>
        <v>0</v>
      </c>
      <c r="L19" s="264">
        <f t="shared" si="0"/>
        <v>14071.997271708684</v>
      </c>
      <c r="M19" s="271" t="str">
        <f t="shared" si="1"/>
        <v>Poupou</v>
      </c>
      <c r="N19" s="254"/>
    </row>
    <row r="20" spans="6:14">
      <c r="F20" s="257"/>
      <c r="G20" s="929" t="s">
        <v>290</v>
      </c>
      <c r="H20" s="929"/>
      <c r="I20" s="1032"/>
      <c r="J20" s="261">
        <f>'LISTA MATERIAIS'!H100</f>
        <v>5140</v>
      </c>
      <c r="K20" s="266">
        <f>'LISTA MATERIAIS'!K100</f>
        <v>0</v>
      </c>
      <c r="L20" s="264">
        <f t="shared" si="0"/>
        <v>5140</v>
      </c>
      <c r="M20" s="271" t="str">
        <f t="shared" si="1"/>
        <v>Poupou</v>
      </c>
      <c r="N20" s="254"/>
    </row>
    <row r="21" spans="6:14">
      <c r="F21" s="257"/>
      <c r="G21" s="929" t="s">
        <v>261</v>
      </c>
      <c r="H21" s="929"/>
      <c r="I21" s="1032"/>
      <c r="J21" s="261">
        <f>'LISTA MATERIAIS'!H154</f>
        <v>69465</v>
      </c>
      <c r="K21" s="266">
        <f>'LISTA MATERIAIS'!K154</f>
        <v>0</v>
      </c>
      <c r="L21" s="264">
        <f t="shared" si="0"/>
        <v>69465</v>
      </c>
      <c r="M21" s="271" t="str">
        <f t="shared" si="1"/>
        <v>Poupou</v>
      </c>
      <c r="N21" s="254"/>
    </row>
    <row r="22" spans="6:14">
      <c r="F22" s="257"/>
      <c r="G22" s="929" t="s">
        <v>304</v>
      </c>
      <c r="H22" s="929"/>
      <c r="I22" s="1032"/>
      <c r="J22" s="261">
        <f>'LISTA MATERIAIS'!H259</f>
        <v>33667.807999999997</v>
      </c>
      <c r="K22" s="266">
        <f>'LISTA MATERIAIS'!K259</f>
        <v>0</v>
      </c>
      <c r="L22" s="264">
        <f t="shared" si="0"/>
        <v>33667.807999999997</v>
      </c>
      <c r="M22" s="271" t="str">
        <f t="shared" si="1"/>
        <v>Poupou</v>
      </c>
      <c r="N22" s="254"/>
    </row>
    <row r="23" spans="6:14">
      <c r="F23" s="257"/>
      <c r="G23" s="929" t="s">
        <v>385</v>
      </c>
      <c r="H23" s="929"/>
      <c r="I23" s="1032"/>
      <c r="J23" s="261">
        <f>'LISTA MATERIAIS'!H269</f>
        <v>0</v>
      </c>
      <c r="K23" s="266">
        <f>'LISTA MATERIAIS'!H269</f>
        <v>0</v>
      </c>
      <c r="L23" s="264">
        <f t="shared" si="0"/>
        <v>0</v>
      </c>
      <c r="M23" s="271" t="str">
        <f t="shared" si="1"/>
        <v>Planejado</v>
      </c>
      <c r="N23" s="254"/>
    </row>
    <row r="24" spans="6:14">
      <c r="F24" s="257"/>
      <c r="G24" s="1031" t="s">
        <v>394</v>
      </c>
      <c r="H24" s="929"/>
      <c r="I24" s="1032"/>
      <c r="J24" s="261">
        <f>'LISTA MATERIAIS'!H277</f>
        <v>0</v>
      </c>
      <c r="K24" s="266">
        <f>'LISTA MATERIAIS'!K277</f>
        <v>0</v>
      </c>
      <c r="L24" s="264">
        <f t="shared" si="0"/>
        <v>0</v>
      </c>
      <c r="M24" s="271" t="str">
        <f t="shared" si="1"/>
        <v>Planejado</v>
      </c>
      <c r="N24" s="254"/>
    </row>
    <row r="25" spans="6:14" ht="15.75" thickBot="1">
      <c r="F25" s="257"/>
      <c r="G25" s="915" t="s">
        <v>400</v>
      </c>
      <c r="H25" s="915"/>
      <c r="I25" s="1063"/>
      <c r="J25" s="262">
        <f>'MÃO DE OBRA'!L28</f>
        <v>314418.74</v>
      </c>
      <c r="K25" s="267">
        <f>'MÃO DE OBRA'!M28</f>
        <v>0</v>
      </c>
      <c r="L25" s="270">
        <f t="shared" si="0"/>
        <v>314418.74</v>
      </c>
      <c r="M25" s="273" t="str">
        <f>IF(L25&gt;0,"Poupou",IF(L25=0,"Planejado","Estourou"))</f>
        <v>Poupou</v>
      </c>
      <c r="N25" s="254"/>
    </row>
    <row r="26" spans="6:14" ht="15" customHeight="1" thickBot="1">
      <c r="F26" s="257"/>
      <c r="G26" s="1043" t="s">
        <v>123</v>
      </c>
      <c r="H26" s="1044"/>
      <c r="I26" s="1045"/>
      <c r="J26" s="259">
        <f>SUM(J10:J25)</f>
        <v>648548.52475923696</v>
      </c>
      <c r="K26" s="259">
        <f>SUM(K10:K25)</f>
        <v>0</v>
      </c>
      <c r="L26" s="263">
        <f>J26-K26</f>
        <v>648548.52475923696</v>
      </c>
      <c r="M26" s="234" t="str">
        <f>IF(L26&gt;0,"Poupou",IF(L26=0,"Planejado","Estourou"))</f>
        <v>Poupou</v>
      </c>
      <c r="N26" s="254"/>
    </row>
    <row r="27" spans="6:14" ht="8.25" customHeight="1" thickBot="1">
      <c r="F27" s="255"/>
      <c r="G27" s="246"/>
      <c r="H27" s="246"/>
      <c r="I27" s="246"/>
      <c r="J27" s="246"/>
      <c r="K27" s="246"/>
      <c r="L27" s="246"/>
      <c r="M27" s="246"/>
      <c r="N27" s="256"/>
    </row>
  </sheetData>
  <mergeCells count="22">
    <mergeCell ref="G7:M7"/>
    <mergeCell ref="L8:M8"/>
    <mergeCell ref="G25:I25"/>
    <mergeCell ref="G26:I26"/>
    <mergeCell ref="G19:I19"/>
    <mergeCell ref="G23:I23"/>
    <mergeCell ref="G20:I20"/>
    <mergeCell ref="G21:I21"/>
    <mergeCell ref="G22:I22"/>
    <mergeCell ref="G24:I24"/>
    <mergeCell ref="J8:J9"/>
    <mergeCell ref="K8:K9"/>
    <mergeCell ref="G8:I9"/>
    <mergeCell ref="G17:I17"/>
    <mergeCell ref="G18:I18"/>
    <mergeCell ref="G15:I15"/>
    <mergeCell ref="G10:I10"/>
    <mergeCell ref="G16:I16"/>
    <mergeCell ref="G13:I13"/>
    <mergeCell ref="G14:I14"/>
    <mergeCell ref="G12:I12"/>
    <mergeCell ref="G11:I11"/>
  </mergeCells>
  <conditionalFormatting sqref="L10:L26">
    <cfRule type="cellIs" dxfId="5" priority="6" operator="equal">
      <formula>0</formula>
    </cfRule>
    <cfRule type="cellIs" dxfId="4" priority="5" operator="greaterThan">
      <formula>0</formula>
    </cfRule>
    <cfRule type="cellIs" dxfId="3" priority="4" operator="lessThan">
      <formula>0</formula>
    </cfRule>
  </conditionalFormatting>
  <conditionalFormatting sqref="M10:M26">
    <cfRule type="containsText" dxfId="2" priority="3" operator="containsText" text="Poupou">
      <formula>NOT(ISERROR(SEARCH("Poupou",M10)))</formula>
    </cfRule>
    <cfRule type="containsText" dxfId="1" priority="2" operator="containsText" text="Estourou">
      <formula>NOT(ISERROR(SEARCH("Estourou",M10)))</formula>
    </cfRule>
    <cfRule type="containsText" dxfId="0" priority="1" operator="containsText" text="Planejado">
      <formula>NOT(ISERROR(SEARCH("Planejado",M10)))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/>
  </sheetPr>
  <dimension ref="D1:AA93"/>
  <sheetViews>
    <sheetView zoomScaleNormal="100" workbookViewId="0">
      <pane xSplit="1" ySplit="4" topLeftCell="B5" activePane="bottomRight" state="frozenSplit"/>
      <selection pane="topRight" activeCell="B1" sqref="B1"/>
      <selection pane="bottomLeft" activeCell="A5" sqref="A5"/>
      <selection pane="bottomRight" activeCell="R13" sqref="R13"/>
    </sheetView>
  </sheetViews>
  <sheetFormatPr defaultRowHeight="15"/>
  <cols>
    <col min="4" max="4" width="2.7109375" customWidth="1"/>
    <col min="7" max="7" width="11.85546875" customWidth="1"/>
    <col min="10" max="10" width="57.28515625" customWidth="1"/>
    <col min="13" max="13" width="34.85546875" customWidth="1"/>
    <col min="14" max="14" width="11.85546875" customWidth="1"/>
    <col min="15" max="15" width="2.7109375" customWidth="1"/>
  </cols>
  <sheetData>
    <row r="1" spans="4:15" ht="15.75" thickBot="1"/>
    <row r="2" spans="4:15" ht="15.75" thickBot="1">
      <c r="D2" s="247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53"/>
    </row>
    <row r="3" spans="4:15" ht="15.75" thickBot="1">
      <c r="D3" s="220"/>
      <c r="E3" s="1089" t="s">
        <v>404</v>
      </c>
      <c r="F3" s="1090"/>
      <c r="G3" s="1090"/>
      <c r="H3" s="1090"/>
      <c r="I3" s="1090"/>
      <c r="J3" s="1090"/>
      <c r="K3" s="1090"/>
      <c r="L3" s="1090"/>
      <c r="M3" s="1090"/>
      <c r="N3" s="1091"/>
      <c r="O3" s="254"/>
    </row>
    <row r="4" spans="4:15" ht="15.75" thickBot="1">
      <c r="D4" s="220"/>
      <c r="E4" s="1019" t="s">
        <v>401</v>
      </c>
      <c r="F4" s="1020"/>
      <c r="G4" s="1021"/>
      <c r="H4" s="1019" t="s">
        <v>402</v>
      </c>
      <c r="I4" s="1020"/>
      <c r="J4" s="1021"/>
      <c r="K4" s="1019" t="s">
        <v>406</v>
      </c>
      <c r="L4" s="1020"/>
      <c r="M4" s="1021"/>
      <c r="N4" s="289" t="s">
        <v>403</v>
      </c>
      <c r="O4" s="254"/>
    </row>
    <row r="5" spans="4:15">
      <c r="D5" s="220"/>
      <c r="E5" s="1080" t="s">
        <v>398</v>
      </c>
      <c r="F5" s="1081"/>
      <c r="G5" s="1082"/>
      <c r="H5" s="1074" t="s">
        <v>405</v>
      </c>
      <c r="I5" s="1075"/>
      <c r="J5" s="1076"/>
      <c r="K5" s="1092" t="s">
        <v>411</v>
      </c>
      <c r="L5" s="1093"/>
      <c r="M5" s="1094"/>
      <c r="N5" s="290"/>
      <c r="O5" s="254"/>
    </row>
    <row r="6" spans="4:15">
      <c r="D6" s="220"/>
      <c r="E6" s="1083"/>
      <c r="F6" s="1084"/>
      <c r="G6" s="1085"/>
      <c r="H6" s="1077"/>
      <c r="I6" s="1078"/>
      <c r="J6" s="1079"/>
      <c r="K6" s="1095" t="s">
        <v>410</v>
      </c>
      <c r="L6" s="1096"/>
      <c r="M6" s="1097"/>
      <c r="N6" s="292"/>
      <c r="O6" s="254"/>
    </row>
    <row r="7" spans="4:15">
      <c r="D7" s="220"/>
      <c r="E7" s="1083"/>
      <c r="F7" s="1084"/>
      <c r="G7" s="1085"/>
      <c r="H7" s="1077"/>
      <c r="I7" s="1078"/>
      <c r="J7" s="1078"/>
      <c r="K7" s="1072" t="s">
        <v>407</v>
      </c>
      <c r="L7" s="921"/>
      <c r="M7" s="1073"/>
      <c r="N7" s="293"/>
      <c r="O7" s="254"/>
    </row>
    <row r="8" spans="4:15">
      <c r="D8" s="220"/>
      <c r="E8" s="1083"/>
      <c r="F8" s="1084"/>
      <c r="G8" s="1085"/>
      <c r="H8" s="1103"/>
      <c r="I8" s="1104"/>
      <c r="J8" s="1105"/>
      <c r="K8" s="920" t="s">
        <v>408</v>
      </c>
      <c r="L8" s="921"/>
      <c r="M8" s="1073"/>
      <c r="N8" s="293"/>
      <c r="O8" s="254"/>
    </row>
    <row r="9" spans="4:15">
      <c r="D9" s="220"/>
      <c r="E9" s="1083"/>
      <c r="F9" s="1084"/>
      <c r="G9" s="1085"/>
      <c r="H9" s="1103"/>
      <c r="I9" s="1104"/>
      <c r="J9" s="1105"/>
      <c r="K9" s="920" t="s">
        <v>409</v>
      </c>
      <c r="L9" s="921"/>
      <c r="M9" s="1073"/>
      <c r="N9" s="293"/>
      <c r="O9" s="254"/>
    </row>
    <row r="10" spans="4:15" ht="15.75" thickBot="1">
      <c r="D10" s="220"/>
      <c r="E10" s="1086"/>
      <c r="F10" s="1087"/>
      <c r="G10" s="1088"/>
      <c r="H10" s="1106"/>
      <c r="I10" s="1107"/>
      <c r="J10" s="1108"/>
      <c r="K10" s="1098" t="s">
        <v>412</v>
      </c>
      <c r="L10" s="1099"/>
      <c r="M10" s="1100"/>
      <c r="N10" s="294"/>
      <c r="O10" s="254"/>
    </row>
    <row r="11" spans="4:15" ht="15.75" thickBot="1">
      <c r="D11" s="220"/>
      <c r="E11" s="1101" t="s">
        <v>413</v>
      </c>
      <c r="F11" s="1101"/>
      <c r="G11" s="1101"/>
      <c r="H11" s="1101" t="s">
        <v>414</v>
      </c>
      <c r="I11" s="1101"/>
      <c r="J11" s="1101"/>
      <c r="K11" s="1101" t="s">
        <v>415</v>
      </c>
      <c r="L11" s="1101"/>
      <c r="M11" s="1101"/>
      <c r="N11" s="295"/>
      <c r="O11" s="254"/>
    </row>
    <row r="12" spans="4:15">
      <c r="D12" s="220"/>
      <c r="E12" s="1080" t="s">
        <v>61</v>
      </c>
      <c r="F12" s="1081"/>
      <c r="G12" s="1082"/>
      <c r="H12" s="1074" t="s">
        <v>422</v>
      </c>
      <c r="I12" s="1075"/>
      <c r="J12" s="1076"/>
      <c r="K12" s="1102" t="s">
        <v>416</v>
      </c>
      <c r="L12" s="1102"/>
      <c r="M12" s="1102"/>
      <c r="N12" s="296"/>
      <c r="O12" s="254"/>
    </row>
    <row r="13" spans="4:15">
      <c r="D13" s="220"/>
      <c r="E13" s="1083"/>
      <c r="F13" s="1084"/>
      <c r="G13" s="1085"/>
      <c r="H13" s="1077"/>
      <c r="I13" s="1078"/>
      <c r="J13" s="1079"/>
      <c r="K13" s="1115" t="s">
        <v>417</v>
      </c>
      <c r="L13" s="1115"/>
      <c r="M13" s="1115"/>
      <c r="N13" s="291"/>
      <c r="O13" s="254"/>
    </row>
    <row r="14" spans="4:15">
      <c r="D14" s="220"/>
      <c r="E14" s="1083"/>
      <c r="F14" s="1084"/>
      <c r="G14" s="1085"/>
      <c r="H14" s="1077"/>
      <c r="I14" s="1078"/>
      <c r="J14" s="1079"/>
      <c r="K14" s="1115" t="s">
        <v>418</v>
      </c>
      <c r="L14" s="1115"/>
      <c r="M14" s="1115"/>
      <c r="N14" s="292"/>
      <c r="O14" s="254"/>
    </row>
    <row r="15" spans="4:15">
      <c r="D15" s="220"/>
      <c r="E15" s="1083"/>
      <c r="F15" s="1084"/>
      <c r="G15" s="1085"/>
      <c r="H15" s="1077"/>
      <c r="I15" s="1078"/>
      <c r="J15" s="1079"/>
      <c r="K15" s="1115" t="s">
        <v>419</v>
      </c>
      <c r="L15" s="1115"/>
      <c r="M15" s="1115"/>
      <c r="N15" s="293"/>
      <c r="O15" s="254"/>
    </row>
    <row r="16" spans="4:15">
      <c r="D16" s="220"/>
      <c r="E16" s="1083"/>
      <c r="F16" s="1084"/>
      <c r="G16" s="1085"/>
      <c r="H16" s="1077"/>
      <c r="I16" s="1078"/>
      <c r="J16" s="1079"/>
      <c r="K16" s="1115" t="s">
        <v>420</v>
      </c>
      <c r="L16" s="1115"/>
      <c r="M16" s="1115"/>
      <c r="N16" s="293"/>
      <c r="O16" s="254"/>
    </row>
    <row r="17" spans="4:15" ht="15.75" thickBot="1">
      <c r="D17" s="220"/>
      <c r="E17" s="1086"/>
      <c r="F17" s="1087"/>
      <c r="G17" s="1088"/>
      <c r="H17" s="1112"/>
      <c r="I17" s="1113"/>
      <c r="J17" s="1114"/>
      <c r="K17" s="1116" t="s">
        <v>421</v>
      </c>
      <c r="L17" s="1116"/>
      <c r="M17" s="1116"/>
      <c r="N17" s="294"/>
      <c r="O17" s="254"/>
    </row>
    <row r="18" spans="4:15">
      <c r="D18" s="220"/>
      <c r="E18" s="1080" t="s">
        <v>164</v>
      </c>
      <c r="F18" s="1081"/>
      <c r="G18" s="1082"/>
      <c r="H18" s="1074" t="s">
        <v>430</v>
      </c>
      <c r="I18" s="1075"/>
      <c r="J18" s="1076"/>
      <c r="K18" s="1117" t="s">
        <v>423</v>
      </c>
      <c r="L18" s="1118"/>
      <c r="M18" s="1119"/>
      <c r="N18" s="296"/>
      <c r="O18" s="254"/>
    </row>
    <row r="19" spans="4:15">
      <c r="D19" s="220"/>
      <c r="E19" s="1083"/>
      <c r="F19" s="1084"/>
      <c r="G19" s="1085"/>
      <c r="H19" s="1077"/>
      <c r="I19" s="1078"/>
      <c r="J19" s="1079"/>
      <c r="K19" s="1072" t="s">
        <v>424</v>
      </c>
      <c r="L19" s="921"/>
      <c r="M19" s="1073"/>
      <c r="N19" s="293"/>
      <c r="O19" s="254"/>
    </row>
    <row r="20" spans="4:15">
      <c r="D20" s="220"/>
      <c r="E20" s="1083"/>
      <c r="F20" s="1084"/>
      <c r="G20" s="1085"/>
      <c r="H20" s="1077"/>
      <c r="I20" s="1078"/>
      <c r="J20" s="1079"/>
      <c r="K20" s="1072" t="s">
        <v>425</v>
      </c>
      <c r="L20" s="921"/>
      <c r="M20" s="1073"/>
      <c r="N20" s="293"/>
      <c r="O20" s="254"/>
    </row>
    <row r="21" spans="4:15">
      <c r="D21" s="220"/>
      <c r="E21" s="1083"/>
      <c r="F21" s="1084"/>
      <c r="G21" s="1085"/>
      <c r="H21" s="1077"/>
      <c r="I21" s="1078"/>
      <c r="J21" s="1079"/>
      <c r="K21" s="1072" t="s">
        <v>426</v>
      </c>
      <c r="L21" s="921"/>
      <c r="M21" s="1073"/>
      <c r="N21" s="293"/>
      <c r="O21" s="254"/>
    </row>
    <row r="22" spans="4:15">
      <c r="D22" s="220"/>
      <c r="E22" s="1083"/>
      <c r="F22" s="1084"/>
      <c r="G22" s="1085"/>
      <c r="H22" s="1077"/>
      <c r="I22" s="1078"/>
      <c r="J22" s="1079"/>
      <c r="K22" s="1072" t="s">
        <v>427</v>
      </c>
      <c r="L22" s="921"/>
      <c r="M22" s="1073"/>
      <c r="N22" s="293"/>
      <c r="O22" s="254"/>
    </row>
    <row r="23" spans="4:15">
      <c r="D23" s="220"/>
      <c r="E23" s="1083"/>
      <c r="F23" s="1084"/>
      <c r="G23" s="1085"/>
      <c r="H23" s="1077"/>
      <c r="I23" s="1078"/>
      <c r="J23" s="1079"/>
      <c r="K23" s="1072" t="s">
        <v>428</v>
      </c>
      <c r="L23" s="921"/>
      <c r="M23" s="1073"/>
      <c r="N23" s="293"/>
      <c r="O23" s="254"/>
    </row>
    <row r="24" spans="4:15" ht="15.75" thickBot="1">
      <c r="D24" s="220"/>
      <c r="E24" s="1086"/>
      <c r="F24" s="1087"/>
      <c r="G24" s="1088"/>
      <c r="H24" s="1112"/>
      <c r="I24" s="1113"/>
      <c r="J24" s="1114"/>
      <c r="K24" s="1098" t="s">
        <v>429</v>
      </c>
      <c r="L24" s="1099"/>
      <c r="M24" s="1100"/>
      <c r="N24" s="294"/>
      <c r="O24" s="254"/>
    </row>
    <row r="25" spans="4:15">
      <c r="D25" s="220"/>
      <c r="E25" s="1080" t="s">
        <v>434</v>
      </c>
      <c r="F25" s="1081"/>
      <c r="G25" s="1082"/>
      <c r="H25" s="1074" t="s">
        <v>431</v>
      </c>
      <c r="I25" s="1075"/>
      <c r="J25" s="1076"/>
      <c r="K25" s="1109" t="s">
        <v>432</v>
      </c>
      <c r="L25" s="1110"/>
      <c r="M25" s="1111"/>
      <c r="N25" s="296"/>
      <c r="O25" s="254"/>
    </row>
    <row r="26" spans="4:15" ht="15.75" thickBot="1">
      <c r="D26" s="220"/>
      <c r="E26" s="1086"/>
      <c r="F26" s="1087"/>
      <c r="G26" s="1088"/>
      <c r="H26" s="1112"/>
      <c r="I26" s="1113"/>
      <c r="J26" s="1114"/>
      <c r="K26" s="1106" t="s">
        <v>433</v>
      </c>
      <c r="L26" s="1107"/>
      <c r="M26" s="1108"/>
      <c r="N26" s="297"/>
      <c r="O26" s="254"/>
    </row>
    <row r="27" spans="4:15">
      <c r="D27" s="220"/>
      <c r="E27" s="1080" t="s">
        <v>173</v>
      </c>
      <c r="F27" s="1081"/>
      <c r="G27" s="1082"/>
      <c r="H27" s="1074" t="s">
        <v>441</v>
      </c>
      <c r="I27" s="1075"/>
      <c r="J27" s="1076"/>
      <c r="K27" s="1103" t="s">
        <v>435</v>
      </c>
      <c r="L27" s="1104"/>
      <c r="M27" s="1105"/>
      <c r="N27" s="296"/>
      <c r="O27" s="254"/>
    </row>
    <row r="28" spans="4:15">
      <c r="D28" s="220"/>
      <c r="E28" s="1083"/>
      <c r="F28" s="1084"/>
      <c r="G28" s="1085"/>
      <c r="H28" s="1077"/>
      <c r="I28" s="1078"/>
      <c r="J28" s="1079"/>
      <c r="K28" s="1120" t="s">
        <v>436</v>
      </c>
      <c r="L28" s="936"/>
      <c r="M28" s="1121"/>
      <c r="N28" s="298"/>
      <c r="O28" s="254"/>
    </row>
    <row r="29" spans="4:15">
      <c r="D29" s="220"/>
      <c r="E29" s="1083"/>
      <c r="F29" s="1084"/>
      <c r="G29" s="1085"/>
      <c r="H29" s="1077"/>
      <c r="I29" s="1078"/>
      <c r="J29" s="1079"/>
      <c r="K29" s="1120" t="s">
        <v>437</v>
      </c>
      <c r="L29" s="936"/>
      <c r="M29" s="1121"/>
      <c r="N29" s="291"/>
      <c r="O29" s="254"/>
    </row>
    <row r="30" spans="4:15">
      <c r="D30" s="220"/>
      <c r="E30" s="1083"/>
      <c r="F30" s="1084"/>
      <c r="G30" s="1085"/>
      <c r="H30" s="1077"/>
      <c r="I30" s="1078"/>
      <c r="J30" s="1079"/>
      <c r="K30" s="1103" t="s">
        <v>438</v>
      </c>
      <c r="L30" s="1104"/>
      <c r="M30" s="1105"/>
      <c r="N30" s="293"/>
      <c r="O30" s="254"/>
    </row>
    <row r="31" spans="4:15">
      <c r="D31" s="220"/>
      <c r="E31" s="1083"/>
      <c r="F31" s="1084"/>
      <c r="G31" s="1085"/>
      <c r="H31" s="1077"/>
      <c r="I31" s="1078"/>
      <c r="J31" s="1079"/>
      <c r="K31" s="1120" t="s">
        <v>439</v>
      </c>
      <c r="L31" s="936"/>
      <c r="M31" s="1121"/>
      <c r="N31" s="293"/>
      <c r="O31" s="254"/>
    </row>
    <row r="32" spans="4:15" ht="15.75" thickBot="1">
      <c r="D32" s="220"/>
      <c r="E32" s="1086"/>
      <c r="F32" s="1087"/>
      <c r="G32" s="1088"/>
      <c r="H32" s="1112"/>
      <c r="I32" s="1113"/>
      <c r="J32" s="1114"/>
      <c r="K32" s="1106" t="s">
        <v>440</v>
      </c>
      <c r="L32" s="1107"/>
      <c r="M32" s="1108"/>
      <c r="N32" s="294"/>
      <c r="O32" s="254"/>
    </row>
    <row r="33" spans="4:15">
      <c r="D33" s="220"/>
      <c r="E33" s="1080" t="s">
        <v>181</v>
      </c>
      <c r="F33" s="1081"/>
      <c r="G33" s="1082"/>
      <c r="H33" s="1074" t="s">
        <v>446</v>
      </c>
      <c r="I33" s="1075"/>
      <c r="J33" s="1076"/>
      <c r="K33" s="1109" t="s">
        <v>443</v>
      </c>
      <c r="L33" s="1110"/>
      <c r="M33" s="1111"/>
      <c r="N33" s="296"/>
      <c r="O33" s="254"/>
    </row>
    <row r="34" spans="4:15">
      <c r="D34" s="220"/>
      <c r="E34" s="1083"/>
      <c r="F34" s="1084"/>
      <c r="G34" s="1085"/>
      <c r="H34" s="1077"/>
      <c r="I34" s="1078"/>
      <c r="J34" s="1079"/>
      <c r="K34" s="1120" t="s">
        <v>442</v>
      </c>
      <c r="L34" s="936"/>
      <c r="M34" s="1121"/>
      <c r="N34" s="293"/>
      <c r="O34" s="254"/>
    </row>
    <row r="35" spans="4:15">
      <c r="D35" s="220"/>
      <c r="E35" s="1083"/>
      <c r="F35" s="1084"/>
      <c r="G35" s="1085"/>
      <c r="H35" s="1077"/>
      <c r="I35" s="1078"/>
      <c r="J35" s="1079"/>
      <c r="K35" s="1120" t="s">
        <v>444</v>
      </c>
      <c r="L35" s="936"/>
      <c r="M35" s="1121"/>
      <c r="N35" s="293"/>
      <c r="O35" s="254"/>
    </row>
    <row r="36" spans="4:15">
      <c r="D36" s="220"/>
      <c r="E36" s="1083"/>
      <c r="F36" s="1084"/>
      <c r="G36" s="1085"/>
      <c r="H36" s="1077"/>
      <c r="I36" s="1078"/>
      <c r="J36" s="1079"/>
      <c r="K36" s="1120" t="s">
        <v>445</v>
      </c>
      <c r="L36" s="936"/>
      <c r="M36" s="1121"/>
      <c r="N36" s="293"/>
      <c r="O36" s="254"/>
    </row>
    <row r="37" spans="4:15" ht="15.75" thickBot="1">
      <c r="D37" s="220"/>
      <c r="E37" s="1086"/>
      <c r="F37" s="1087"/>
      <c r="G37" s="1088"/>
      <c r="H37" s="1112"/>
      <c r="I37" s="1113"/>
      <c r="J37" s="1114"/>
      <c r="K37" s="1106" t="s">
        <v>417</v>
      </c>
      <c r="L37" s="1107"/>
      <c r="M37" s="1108"/>
      <c r="N37" s="297"/>
      <c r="O37" s="254"/>
    </row>
    <row r="38" spans="4:15">
      <c r="D38" s="220"/>
      <c r="E38" s="1080" t="s">
        <v>224</v>
      </c>
      <c r="F38" s="1081"/>
      <c r="G38" s="1082"/>
      <c r="H38" s="1074" t="s">
        <v>451</v>
      </c>
      <c r="I38" s="1075"/>
      <c r="J38" s="1076"/>
      <c r="K38" s="1103" t="s">
        <v>447</v>
      </c>
      <c r="L38" s="1104"/>
      <c r="M38" s="1105"/>
      <c r="N38" s="296"/>
      <c r="O38" s="254"/>
    </row>
    <row r="39" spans="4:15">
      <c r="D39" s="220"/>
      <c r="E39" s="1083"/>
      <c r="F39" s="1084"/>
      <c r="G39" s="1085"/>
      <c r="H39" s="1077"/>
      <c r="I39" s="1078"/>
      <c r="J39" s="1079"/>
      <c r="K39" s="1120" t="s">
        <v>448</v>
      </c>
      <c r="L39" s="936"/>
      <c r="M39" s="1121"/>
      <c r="N39" s="291"/>
      <c r="O39" s="254"/>
    </row>
    <row r="40" spans="4:15">
      <c r="D40" s="220"/>
      <c r="E40" s="1083"/>
      <c r="F40" s="1084"/>
      <c r="G40" s="1085"/>
      <c r="H40" s="1077"/>
      <c r="I40" s="1078"/>
      <c r="J40" s="1079"/>
      <c r="K40" s="1120" t="s">
        <v>449</v>
      </c>
      <c r="L40" s="936"/>
      <c r="M40" s="1121"/>
      <c r="N40" s="292"/>
      <c r="O40" s="254"/>
    </row>
    <row r="41" spans="4:15" ht="15.75" thickBot="1">
      <c r="D41" s="220"/>
      <c r="E41" s="1086"/>
      <c r="F41" s="1087"/>
      <c r="G41" s="1088"/>
      <c r="H41" s="1112"/>
      <c r="I41" s="1113"/>
      <c r="J41" s="1114"/>
      <c r="K41" s="1122" t="s">
        <v>450</v>
      </c>
      <c r="L41" s="1123"/>
      <c r="M41" s="1124"/>
      <c r="N41" s="294"/>
      <c r="O41" s="254"/>
    </row>
    <row r="42" spans="4:15">
      <c r="D42" s="220"/>
      <c r="E42" s="1074" t="s">
        <v>458</v>
      </c>
      <c r="F42" s="1075"/>
      <c r="G42" s="1076"/>
      <c r="H42" s="1074" t="s">
        <v>459</v>
      </c>
      <c r="I42" s="1075"/>
      <c r="J42" s="1076"/>
      <c r="K42" s="1109" t="s">
        <v>452</v>
      </c>
      <c r="L42" s="1110"/>
      <c r="M42" s="1111"/>
      <c r="N42" s="296"/>
      <c r="O42" s="254"/>
    </row>
    <row r="43" spans="4:15">
      <c r="D43" s="220"/>
      <c r="E43" s="1077"/>
      <c r="F43" s="1078"/>
      <c r="G43" s="1079"/>
      <c r="H43" s="1077"/>
      <c r="I43" s="1078"/>
      <c r="J43" s="1079"/>
      <c r="K43" s="1120" t="s">
        <v>453</v>
      </c>
      <c r="L43" s="936"/>
      <c r="M43" s="1121"/>
      <c r="N43" s="293"/>
      <c r="O43" s="254"/>
    </row>
    <row r="44" spans="4:15">
      <c r="D44" s="220"/>
      <c r="E44" s="1077"/>
      <c r="F44" s="1078"/>
      <c r="G44" s="1079"/>
      <c r="H44" s="1077"/>
      <c r="I44" s="1078"/>
      <c r="J44" s="1079"/>
      <c r="K44" s="1103" t="s">
        <v>454</v>
      </c>
      <c r="L44" s="1104"/>
      <c r="M44" s="1105"/>
      <c r="N44" s="291"/>
      <c r="O44" s="254"/>
    </row>
    <row r="45" spans="4:15">
      <c r="D45" s="220"/>
      <c r="E45" s="1077"/>
      <c r="F45" s="1078"/>
      <c r="G45" s="1079"/>
      <c r="H45" s="1077"/>
      <c r="I45" s="1078"/>
      <c r="J45" s="1079"/>
      <c r="K45" s="936" t="s">
        <v>455</v>
      </c>
      <c r="L45" s="936"/>
      <c r="M45" s="936"/>
      <c r="N45" s="293"/>
      <c r="O45" s="254"/>
    </row>
    <row r="46" spans="4:15">
      <c r="D46" s="220"/>
      <c r="E46" s="1077"/>
      <c r="F46" s="1078"/>
      <c r="G46" s="1079"/>
      <c r="H46" s="1077"/>
      <c r="I46" s="1078"/>
      <c r="J46" s="1079"/>
      <c r="K46" s="1120" t="s">
        <v>456</v>
      </c>
      <c r="L46" s="936"/>
      <c r="M46" s="1121"/>
      <c r="N46" s="293"/>
      <c r="O46" s="254"/>
    </row>
    <row r="47" spans="4:15" ht="15.75" thickBot="1">
      <c r="D47" s="220"/>
      <c r="E47" s="1112"/>
      <c r="F47" s="1113"/>
      <c r="G47" s="1114"/>
      <c r="H47" s="1112"/>
      <c r="I47" s="1113"/>
      <c r="J47" s="1114"/>
      <c r="K47" s="1106" t="s">
        <v>457</v>
      </c>
      <c r="L47" s="1107"/>
      <c r="M47" s="1108"/>
      <c r="N47" s="297"/>
      <c r="O47" s="254"/>
    </row>
    <row r="48" spans="4:15">
      <c r="D48" s="220"/>
      <c r="E48" s="1080" t="s">
        <v>227</v>
      </c>
      <c r="F48" s="1081"/>
      <c r="G48" s="1082"/>
      <c r="H48" s="1080" t="s">
        <v>462</v>
      </c>
      <c r="I48" s="1081"/>
      <c r="J48" s="1082"/>
      <c r="K48" s="1109" t="s">
        <v>457</v>
      </c>
      <c r="L48" s="1110"/>
      <c r="M48" s="1111"/>
      <c r="N48" s="296"/>
      <c r="O48" s="254"/>
    </row>
    <row r="49" spans="4:15">
      <c r="D49" s="220"/>
      <c r="E49" s="1083"/>
      <c r="F49" s="1084"/>
      <c r="G49" s="1085"/>
      <c r="H49" s="1083"/>
      <c r="I49" s="1084"/>
      <c r="J49" s="1085"/>
      <c r="K49" s="1120" t="s">
        <v>452</v>
      </c>
      <c r="L49" s="936"/>
      <c r="M49" s="1121"/>
      <c r="N49" s="293"/>
      <c r="O49" s="254"/>
    </row>
    <row r="50" spans="4:15">
      <c r="D50" s="220"/>
      <c r="E50" s="1083"/>
      <c r="F50" s="1084"/>
      <c r="G50" s="1085"/>
      <c r="H50" s="1083"/>
      <c r="I50" s="1084"/>
      <c r="J50" s="1085"/>
      <c r="K50" s="1120" t="s">
        <v>460</v>
      </c>
      <c r="L50" s="936"/>
      <c r="M50" s="1121"/>
      <c r="N50" s="293"/>
      <c r="O50" s="254"/>
    </row>
    <row r="51" spans="4:15" ht="15.75" thickBot="1">
      <c r="D51" s="220"/>
      <c r="E51" s="1086"/>
      <c r="F51" s="1087"/>
      <c r="G51" s="1088"/>
      <c r="H51" s="1086"/>
      <c r="I51" s="1087"/>
      <c r="J51" s="1088"/>
      <c r="K51" s="1106" t="s">
        <v>461</v>
      </c>
      <c r="L51" s="1107"/>
      <c r="M51" s="1108"/>
      <c r="N51" s="297"/>
      <c r="O51" s="254"/>
    </row>
    <row r="52" spans="4:15">
      <c r="D52" s="220"/>
      <c r="E52" s="1080" t="s">
        <v>188</v>
      </c>
      <c r="F52" s="1081"/>
      <c r="G52" s="1082"/>
      <c r="H52" s="1074" t="s">
        <v>471</v>
      </c>
      <c r="I52" s="1075"/>
      <c r="J52" s="1076"/>
      <c r="K52" s="1130" t="s">
        <v>463</v>
      </c>
      <c r="L52" s="1131"/>
      <c r="M52" s="1132"/>
      <c r="N52" s="1125"/>
      <c r="O52" s="254"/>
    </row>
    <row r="53" spans="4:15">
      <c r="D53" s="220"/>
      <c r="E53" s="1083"/>
      <c r="F53" s="1084"/>
      <c r="G53" s="1085"/>
      <c r="H53" s="1077"/>
      <c r="I53" s="1078"/>
      <c r="J53" s="1079"/>
      <c r="K53" s="1133"/>
      <c r="L53" s="1134"/>
      <c r="M53" s="1135"/>
      <c r="N53" s="1126"/>
      <c r="O53" s="254"/>
    </row>
    <row r="54" spans="4:15">
      <c r="D54" s="220"/>
      <c r="E54" s="1083"/>
      <c r="F54" s="1084"/>
      <c r="G54" s="1085"/>
      <c r="H54" s="1077"/>
      <c r="I54" s="1078"/>
      <c r="J54" s="1079"/>
      <c r="K54" s="1127" t="s">
        <v>464</v>
      </c>
      <c r="L54" s="1128"/>
      <c r="M54" s="1129"/>
      <c r="N54" s="293"/>
      <c r="O54" s="254"/>
    </row>
    <row r="55" spans="4:15">
      <c r="D55" s="220"/>
      <c r="E55" s="1083"/>
      <c r="F55" s="1084"/>
      <c r="G55" s="1085"/>
      <c r="H55" s="1077"/>
      <c r="I55" s="1078"/>
      <c r="J55" s="1079"/>
      <c r="K55" s="1120" t="s">
        <v>465</v>
      </c>
      <c r="L55" s="936"/>
      <c r="M55" s="1121"/>
      <c r="N55" s="293"/>
      <c r="O55" s="254"/>
    </row>
    <row r="56" spans="4:15">
      <c r="D56" s="220"/>
      <c r="E56" s="1083"/>
      <c r="F56" s="1084"/>
      <c r="G56" s="1085"/>
      <c r="H56" s="1077"/>
      <c r="I56" s="1078"/>
      <c r="J56" s="1079"/>
      <c r="K56" s="1120" t="s">
        <v>466</v>
      </c>
      <c r="L56" s="936"/>
      <c r="M56" s="1121"/>
      <c r="N56" s="293"/>
      <c r="O56" s="254"/>
    </row>
    <row r="57" spans="4:15">
      <c r="D57" s="220"/>
      <c r="E57" s="1083"/>
      <c r="F57" s="1084"/>
      <c r="G57" s="1085"/>
      <c r="H57" s="1077"/>
      <c r="I57" s="1078"/>
      <c r="J57" s="1079"/>
      <c r="K57" s="1103" t="s">
        <v>467</v>
      </c>
      <c r="L57" s="1104"/>
      <c r="M57" s="1105"/>
      <c r="N57" s="291"/>
      <c r="O57" s="254"/>
    </row>
    <row r="58" spans="4:15">
      <c r="D58" s="220"/>
      <c r="E58" s="1083"/>
      <c r="F58" s="1084"/>
      <c r="G58" s="1085"/>
      <c r="H58" s="1077"/>
      <c r="I58" s="1078"/>
      <c r="J58" s="1079"/>
      <c r="K58" s="1120" t="s">
        <v>468</v>
      </c>
      <c r="L58" s="936"/>
      <c r="M58" s="936"/>
      <c r="N58" s="293"/>
      <c r="O58" s="254"/>
    </row>
    <row r="59" spans="4:15">
      <c r="D59" s="220"/>
      <c r="E59" s="1083"/>
      <c r="F59" s="1084"/>
      <c r="G59" s="1085"/>
      <c r="H59" s="1077"/>
      <c r="I59" s="1078"/>
      <c r="J59" s="1079"/>
      <c r="K59" s="1120" t="s">
        <v>469</v>
      </c>
      <c r="L59" s="936"/>
      <c r="M59" s="1121"/>
      <c r="N59" s="293"/>
      <c r="O59" s="254"/>
    </row>
    <row r="60" spans="4:15" ht="15.75" thickBot="1">
      <c r="D60" s="220"/>
      <c r="E60" s="1086"/>
      <c r="F60" s="1087"/>
      <c r="G60" s="1088"/>
      <c r="H60" s="1112"/>
      <c r="I60" s="1113"/>
      <c r="J60" s="1114"/>
      <c r="K60" s="1106" t="s">
        <v>470</v>
      </c>
      <c r="L60" s="1107"/>
      <c r="M60" s="1108"/>
      <c r="N60" s="297"/>
      <c r="O60" s="254"/>
    </row>
    <row r="61" spans="4:15">
      <c r="D61" s="220"/>
      <c r="E61" s="1080" t="s">
        <v>183</v>
      </c>
      <c r="F61" s="1081"/>
      <c r="G61" s="1082"/>
      <c r="H61" s="1080" t="s">
        <v>474</v>
      </c>
      <c r="I61" s="1081"/>
      <c r="J61" s="1082"/>
      <c r="K61" s="1109" t="s">
        <v>418</v>
      </c>
      <c r="L61" s="1110"/>
      <c r="M61" s="1111"/>
      <c r="N61" s="296"/>
      <c r="O61" s="254"/>
    </row>
    <row r="62" spans="4:15">
      <c r="D62" s="220"/>
      <c r="E62" s="1083"/>
      <c r="F62" s="1084"/>
      <c r="G62" s="1085"/>
      <c r="H62" s="1083"/>
      <c r="I62" s="1084"/>
      <c r="J62" s="1085"/>
      <c r="K62" s="1120" t="s">
        <v>473</v>
      </c>
      <c r="L62" s="936"/>
      <c r="M62" s="1121"/>
      <c r="N62" s="293"/>
      <c r="O62" s="254"/>
    </row>
    <row r="63" spans="4:15" ht="15.75" thickBot="1">
      <c r="D63" s="220"/>
      <c r="E63" s="1086"/>
      <c r="F63" s="1087"/>
      <c r="G63" s="1088"/>
      <c r="H63" s="1086"/>
      <c r="I63" s="1087"/>
      <c r="J63" s="1088"/>
      <c r="K63" s="1106" t="s">
        <v>472</v>
      </c>
      <c r="L63" s="1107"/>
      <c r="M63" s="1108"/>
      <c r="N63" s="297"/>
      <c r="O63" s="254"/>
    </row>
    <row r="64" spans="4:15">
      <c r="D64" s="220"/>
      <c r="E64" s="1080" t="s">
        <v>475</v>
      </c>
      <c r="F64" s="1081"/>
      <c r="G64" s="1082"/>
      <c r="H64" s="1080" t="s">
        <v>481</v>
      </c>
      <c r="I64" s="1081"/>
      <c r="J64" s="1082"/>
      <c r="K64" s="1109" t="s">
        <v>476</v>
      </c>
      <c r="L64" s="1110"/>
      <c r="M64" s="1111"/>
      <c r="N64" s="296"/>
      <c r="O64" s="254"/>
    </row>
    <row r="65" spans="4:15">
      <c r="D65" s="220"/>
      <c r="E65" s="1083"/>
      <c r="F65" s="1084"/>
      <c r="G65" s="1085"/>
      <c r="H65" s="1083"/>
      <c r="I65" s="1084"/>
      <c r="J65" s="1085"/>
      <c r="K65" s="1120" t="s">
        <v>477</v>
      </c>
      <c r="L65" s="936"/>
      <c r="M65" s="1121"/>
      <c r="N65" s="293"/>
      <c r="O65" s="254"/>
    </row>
    <row r="66" spans="4:15">
      <c r="D66" s="220"/>
      <c r="E66" s="1083"/>
      <c r="F66" s="1084"/>
      <c r="G66" s="1085"/>
      <c r="H66" s="1083"/>
      <c r="I66" s="1084"/>
      <c r="J66" s="1085"/>
      <c r="K66" s="1120" t="s">
        <v>478</v>
      </c>
      <c r="L66" s="936"/>
      <c r="M66" s="1121"/>
      <c r="N66" s="293"/>
      <c r="O66" s="254"/>
    </row>
    <row r="67" spans="4:15">
      <c r="D67" s="220"/>
      <c r="E67" s="1083"/>
      <c r="F67" s="1084"/>
      <c r="G67" s="1085"/>
      <c r="H67" s="1083"/>
      <c r="I67" s="1084"/>
      <c r="J67" s="1085"/>
      <c r="K67" s="1120" t="s">
        <v>479</v>
      </c>
      <c r="L67" s="936"/>
      <c r="M67" s="1121"/>
      <c r="N67" s="293"/>
      <c r="O67" s="254"/>
    </row>
    <row r="68" spans="4:15" ht="15.75" thickBot="1">
      <c r="D68" s="220"/>
      <c r="E68" s="1086"/>
      <c r="F68" s="1087"/>
      <c r="G68" s="1088"/>
      <c r="H68" s="1086"/>
      <c r="I68" s="1087"/>
      <c r="J68" s="1088"/>
      <c r="K68" s="1106" t="s">
        <v>480</v>
      </c>
      <c r="L68" s="1107"/>
      <c r="M68" s="1108"/>
      <c r="N68" s="297"/>
      <c r="O68" s="254"/>
    </row>
    <row r="69" spans="4:15">
      <c r="D69" s="220"/>
      <c r="E69" s="1080" t="s">
        <v>304</v>
      </c>
      <c r="F69" s="1081"/>
      <c r="G69" s="1082"/>
      <c r="H69" s="1074" t="s">
        <v>497</v>
      </c>
      <c r="I69" s="1075"/>
      <c r="J69" s="1076"/>
      <c r="K69" s="1109" t="s">
        <v>485</v>
      </c>
      <c r="L69" s="1110"/>
      <c r="M69" s="1111"/>
      <c r="N69" s="296"/>
      <c r="O69" s="254"/>
    </row>
    <row r="70" spans="4:15">
      <c r="D70" s="220"/>
      <c r="E70" s="1083"/>
      <c r="F70" s="1084"/>
      <c r="G70" s="1085"/>
      <c r="H70" s="1077"/>
      <c r="I70" s="1078"/>
      <c r="J70" s="1079"/>
      <c r="K70" s="1103" t="s">
        <v>486</v>
      </c>
      <c r="L70" s="1104"/>
      <c r="M70" s="1105"/>
      <c r="N70" s="291"/>
      <c r="O70" s="254"/>
    </row>
    <row r="71" spans="4:15">
      <c r="D71" s="220"/>
      <c r="E71" s="1083"/>
      <c r="F71" s="1084"/>
      <c r="G71" s="1085"/>
      <c r="H71" s="1077"/>
      <c r="I71" s="1078"/>
      <c r="J71" s="1079"/>
      <c r="K71" s="1120" t="s">
        <v>487</v>
      </c>
      <c r="L71" s="936"/>
      <c r="M71" s="1121"/>
      <c r="N71" s="293"/>
      <c r="O71" s="257"/>
    </row>
    <row r="72" spans="4:15">
      <c r="D72" s="220"/>
      <c r="E72" s="1083"/>
      <c r="F72" s="1084"/>
      <c r="G72" s="1085"/>
      <c r="H72" s="1077"/>
      <c r="I72" s="1078"/>
      <c r="J72" s="1079"/>
      <c r="K72" s="1136" t="s">
        <v>488</v>
      </c>
      <c r="L72" s="1137"/>
      <c r="M72" s="1138"/>
      <c r="N72" s="298"/>
      <c r="O72" s="254"/>
    </row>
    <row r="73" spans="4:15">
      <c r="D73" s="220"/>
      <c r="E73" s="1083"/>
      <c r="F73" s="1084"/>
      <c r="G73" s="1085"/>
      <c r="H73" s="1077"/>
      <c r="I73" s="1078"/>
      <c r="J73" s="1079"/>
      <c r="K73" s="1136" t="s">
        <v>489</v>
      </c>
      <c r="L73" s="1137"/>
      <c r="M73" s="1138"/>
      <c r="N73" s="298"/>
      <c r="O73" s="254"/>
    </row>
    <row r="74" spans="4:15">
      <c r="D74" s="220"/>
      <c r="E74" s="1083"/>
      <c r="F74" s="1084"/>
      <c r="G74" s="1085"/>
      <c r="H74" s="1077"/>
      <c r="I74" s="1078"/>
      <c r="J74" s="1079"/>
      <c r="K74" s="1136" t="s">
        <v>490</v>
      </c>
      <c r="L74" s="1137"/>
      <c r="M74" s="1138"/>
      <c r="N74" s="298"/>
      <c r="O74" s="254"/>
    </row>
    <row r="75" spans="4:15">
      <c r="D75" s="220"/>
      <c r="E75" s="1083"/>
      <c r="F75" s="1084"/>
      <c r="G75" s="1085"/>
      <c r="H75" s="1077"/>
      <c r="I75" s="1078"/>
      <c r="J75" s="1079"/>
      <c r="K75" s="1136" t="s">
        <v>491</v>
      </c>
      <c r="L75" s="1137"/>
      <c r="M75" s="1138"/>
      <c r="N75" s="298"/>
      <c r="O75" s="254"/>
    </row>
    <row r="76" spans="4:15">
      <c r="D76" s="220"/>
      <c r="E76" s="1083"/>
      <c r="F76" s="1084"/>
      <c r="G76" s="1085"/>
      <c r="H76" s="1077"/>
      <c r="I76" s="1078"/>
      <c r="J76" s="1079"/>
      <c r="K76" s="1136" t="s">
        <v>492</v>
      </c>
      <c r="L76" s="1137"/>
      <c r="M76" s="1138"/>
      <c r="N76" s="298"/>
      <c r="O76" s="254"/>
    </row>
    <row r="77" spans="4:15">
      <c r="D77" s="220"/>
      <c r="E77" s="1083"/>
      <c r="F77" s="1084"/>
      <c r="G77" s="1085"/>
      <c r="H77" s="1077"/>
      <c r="I77" s="1078"/>
      <c r="J77" s="1079"/>
      <c r="K77" s="1120" t="s">
        <v>493</v>
      </c>
      <c r="L77" s="936"/>
      <c r="M77" s="1121"/>
      <c r="N77" s="293"/>
      <c r="O77" s="254"/>
    </row>
    <row r="78" spans="4:15">
      <c r="D78" s="220"/>
      <c r="E78" s="1083"/>
      <c r="F78" s="1084"/>
      <c r="G78" s="1085"/>
      <c r="H78" s="1077"/>
      <c r="I78" s="1078"/>
      <c r="J78" s="1079"/>
      <c r="K78" s="1120" t="s">
        <v>494</v>
      </c>
      <c r="L78" s="936"/>
      <c r="M78" s="1121"/>
      <c r="N78" s="293"/>
      <c r="O78" s="254"/>
    </row>
    <row r="79" spans="4:15">
      <c r="D79" s="220"/>
      <c r="E79" s="1083"/>
      <c r="F79" s="1084"/>
      <c r="G79" s="1085"/>
      <c r="H79" s="1077"/>
      <c r="I79" s="1078"/>
      <c r="J79" s="1079"/>
      <c r="K79" s="1120" t="s">
        <v>495</v>
      </c>
      <c r="L79" s="936"/>
      <c r="M79" s="1121"/>
      <c r="N79" s="293"/>
      <c r="O79" s="254"/>
    </row>
    <row r="80" spans="4:15" ht="15.75" thickBot="1">
      <c r="D80" s="220"/>
      <c r="E80" s="1086"/>
      <c r="F80" s="1087"/>
      <c r="G80" s="1088"/>
      <c r="H80" s="1112"/>
      <c r="I80" s="1113"/>
      <c r="J80" s="1114"/>
      <c r="K80" s="1136" t="s">
        <v>496</v>
      </c>
      <c r="L80" s="1137"/>
      <c r="M80" s="1138"/>
      <c r="N80" s="298"/>
      <c r="O80" s="254"/>
    </row>
    <row r="81" spans="4:27">
      <c r="D81" s="257"/>
      <c r="E81" s="1081" t="s">
        <v>261</v>
      </c>
      <c r="F81" s="1081"/>
      <c r="G81" s="1082"/>
      <c r="H81" s="1074" t="s">
        <v>505</v>
      </c>
      <c r="I81" s="1075"/>
      <c r="J81" s="1076"/>
      <c r="K81" s="1109" t="s">
        <v>498</v>
      </c>
      <c r="L81" s="1110"/>
      <c r="M81" s="1111"/>
      <c r="N81" s="296"/>
      <c r="O81" s="254"/>
    </row>
    <row r="82" spans="4:27">
      <c r="D82" s="257"/>
      <c r="E82" s="1084"/>
      <c r="F82" s="1084"/>
      <c r="G82" s="1085"/>
      <c r="H82" s="1077"/>
      <c r="I82" s="1078"/>
      <c r="J82" s="1079"/>
      <c r="K82" s="1120" t="s">
        <v>499</v>
      </c>
      <c r="L82" s="936"/>
      <c r="M82" s="936"/>
      <c r="N82" s="299"/>
      <c r="O82" s="257"/>
    </row>
    <row r="83" spans="4:27">
      <c r="D83" s="257"/>
      <c r="E83" s="1084"/>
      <c r="F83" s="1084"/>
      <c r="G83" s="1085"/>
      <c r="H83" s="1077"/>
      <c r="I83" s="1078"/>
      <c r="J83" s="1079"/>
      <c r="K83" s="1136" t="s">
        <v>500</v>
      </c>
      <c r="L83" s="1137"/>
      <c r="M83" s="1138"/>
      <c r="N83" s="298"/>
      <c r="O83" s="254"/>
    </row>
    <row r="84" spans="4:27">
      <c r="D84" s="257"/>
      <c r="E84" s="1084"/>
      <c r="F84" s="1084"/>
      <c r="G84" s="1085"/>
      <c r="H84" s="1077"/>
      <c r="I84" s="1078"/>
      <c r="J84" s="1079"/>
      <c r="K84" s="1136" t="s">
        <v>501</v>
      </c>
      <c r="L84" s="1137"/>
      <c r="M84" s="1138"/>
      <c r="N84" s="298"/>
      <c r="O84" s="254"/>
    </row>
    <row r="85" spans="4:27">
      <c r="D85" s="257"/>
      <c r="E85" s="1084"/>
      <c r="F85" s="1084"/>
      <c r="G85" s="1085"/>
      <c r="H85" s="1077"/>
      <c r="I85" s="1078"/>
      <c r="J85" s="1079"/>
      <c r="K85" s="1136" t="s">
        <v>502</v>
      </c>
      <c r="L85" s="1137"/>
      <c r="M85" s="1138"/>
      <c r="N85" s="298"/>
      <c r="O85" s="254"/>
    </row>
    <row r="86" spans="4:27">
      <c r="D86" s="257"/>
      <c r="E86" s="1084"/>
      <c r="F86" s="1084"/>
      <c r="G86" s="1085"/>
      <c r="H86" s="1077"/>
      <c r="I86" s="1078"/>
      <c r="J86" s="1079"/>
      <c r="K86" s="1136" t="s">
        <v>503</v>
      </c>
      <c r="L86" s="1137"/>
      <c r="M86" s="1138"/>
      <c r="N86" s="298"/>
      <c r="O86" s="254"/>
    </row>
    <row r="87" spans="4:27" ht="15.75" thickBot="1">
      <c r="D87" s="257"/>
      <c r="E87" s="1087"/>
      <c r="F87" s="1087"/>
      <c r="G87" s="1088"/>
      <c r="H87" s="1112"/>
      <c r="I87" s="1113"/>
      <c r="J87" s="1114"/>
      <c r="K87" s="1136" t="s">
        <v>504</v>
      </c>
      <c r="L87" s="1137"/>
      <c r="M87" s="1138"/>
      <c r="N87" s="298"/>
      <c r="O87" s="254"/>
    </row>
    <row r="88" spans="4:27">
      <c r="D88" s="257"/>
      <c r="E88" s="1080" t="s">
        <v>290</v>
      </c>
      <c r="F88" s="1081"/>
      <c r="G88" s="1082"/>
      <c r="H88" s="1080"/>
      <c r="I88" s="1081"/>
      <c r="J88" s="1082"/>
      <c r="K88" s="1109" t="s">
        <v>482</v>
      </c>
      <c r="L88" s="1110"/>
      <c r="M88" s="1111"/>
      <c r="N88" s="296"/>
      <c r="O88" s="254"/>
    </row>
    <row r="89" spans="4:27">
      <c r="D89" s="257"/>
      <c r="E89" s="1083"/>
      <c r="F89" s="1084"/>
      <c r="G89" s="1085"/>
      <c r="H89" s="1083"/>
      <c r="I89" s="1084"/>
      <c r="J89" s="1085"/>
      <c r="K89" s="1120" t="s">
        <v>483</v>
      </c>
      <c r="L89" s="936"/>
      <c r="M89" s="1121"/>
      <c r="N89" s="291"/>
      <c r="O89" s="254"/>
    </row>
    <row r="90" spans="4:27" ht="15.75" thickBot="1">
      <c r="D90" s="257"/>
      <c r="E90" s="1086"/>
      <c r="F90" s="1087"/>
      <c r="G90" s="1088"/>
      <c r="H90" s="1086"/>
      <c r="I90" s="1087"/>
      <c r="J90" s="1088"/>
      <c r="K90" s="1122" t="s">
        <v>484</v>
      </c>
      <c r="L90" s="1123"/>
      <c r="M90" s="1124"/>
      <c r="N90" s="294"/>
      <c r="O90" s="254"/>
    </row>
    <row r="91" spans="4:27" ht="15.75" thickBot="1">
      <c r="D91" s="257"/>
      <c r="E91" s="1139" t="s">
        <v>234</v>
      </c>
      <c r="F91" s="1140"/>
      <c r="G91" s="1141"/>
      <c r="H91" s="1139" t="s">
        <v>506</v>
      </c>
      <c r="I91" s="1140"/>
      <c r="J91" s="1141"/>
      <c r="K91" s="1142" t="s">
        <v>507</v>
      </c>
      <c r="L91" s="1143"/>
      <c r="M91" s="1144"/>
      <c r="N91" s="295"/>
      <c r="O91" s="257"/>
      <c r="R91" s="300"/>
      <c r="S91" s="300"/>
      <c r="T91" s="300"/>
      <c r="U91" s="300"/>
      <c r="V91" s="300"/>
      <c r="W91" s="300"/>
      <c r="X91" s="216"/>
      <c r="Y91" s="216"/>
      <c r="Z91" s="216"/>
      <c r="AA91" s="23"/>
    </row>
    <row r="92" spans="4:27" ht="15.75" thickBot="1">
      <c r="D92" s="255"/>
      <c r="E92" s="246"/>
      <c r="F92" s="246"/>
      <c r="G92" s="246"/>
      <c r="H92" s="246"/>
      <c r="I92" s="246"/>
      <c r="J92" s="246"/>
      <c r="K92" s="246"/>
      <c r="L92" s="246"/>
      <c r="M92" s="246"/>
      <c r="N92" s="246"/>
      <c r="O92" s="256"/>
      <c r="R92" s="300"/>
      <c r="S92" s="300"/>
      <c r="T92" s="300"/>
      <c r="U92" s="300"/>
      <c r="V92" s="300"/>
      <c r="W92" s="300"/>
      <c r="X92" s="216"/>
      <c r="Y92" s="216"/>
      <c r="Z92" s="216"/>
      <c r="AA92" s="23"/>
    </row>
    <row r="93" spans="4:27">
      <c r="R93" s="300"/>
      <c r="S93" s="300"/>
      <c r="T93" s="300"/>
      <c r="U93" s="300"/>
      <c r="V93" s="300"/>
      <c r="W93" s="300"/>
      <c r="X93" s="216"/>
      <c r="Y93" s="216"/>
      <c r="Z93" s="216"/>
      <c r="AA93" s="23"/>
    </row>
  </sheetData>
  <mergeCells count="128">
    <mergeCell ref="E91:G91"/>
    <mergeCell ref="H91:J91"/>
    <mergeCell ref="K91:M91"/>
    <mergeCell ref="K84:M84"/>
    <mergeCell ref="K85:M85"/>
    <mergeCell ref="K86:M86"/>
    <mergeCell ref="K87:M87"/>
    <mergeCell ref="H81:J87"/>
    <mergeCell ref="E81:G87"/>
    <mergeCell ref="E88:G90"/>
    <mergeCell ref="H88:J90"/>
    <mergeCell ref="K88:M88"/>
    <mergeCell ref="K89:M89"/>
    <mergeCell ref="K90:M90"/>
    <mergeCell ref="K77:M77"/>
    <mergeCell ref="K78:M78"/>
    <mergeCell ref="K79:M79"/>
    <mergeCell ref="K80:M80"/>
    <mergeCell ref="H69:J80"/>
    <mergeCell ref="E69:G80"/>
    <mergeCell ref="K81:M81"/>
    <mergeCell ref="K82:M82"/>
    <mergeCell ref="K83:M83"/>
    <mergeCell ref="K72:M72"/>
    <mergeCell ref="K73:M73"/>
    <mergeCell ref="K74:M74"/>
    <mergeCell ref="K75:M75"/>
    <mergeCell ref="K76:M76"/>
    <mergeCell ref="K66:M66"/>
    <mergeCell ref="K67:M67"/>
    <mergeCell ref="K68:M68"/>
    <mergeCell ref="K69:M69"/>
    <mergeCell ref="K70:M70"/>
    <mergeCell ref="K71:M71"/>
    <mergeCell ref="H64:J68"/>
    <mergeCell ref="E64:G68"/>
    <mergeCell ref="K62:M62"/>
    <mergeCell ref="K63:M63"/>
    <mergeCell ref="K64:M64"/>
    <mergeCell ref="H52:J60"/>
    <mergeCell ref="E52:G60"/>
    <mergeCell ref="K65:M65"/>
    <mergeCell ref="E61:G63"/>
    <mergeCell ref="H61:J63"/>
    <mergeCell ref="N52:N53"/>
    <mergeCell ref="K58:M58"/>
    <mergeCell ref="K59:M59"/>
    <mergeCell ref="K60:M60"/>
    <mergeCell ref="K61:M61"/>
    <mergeCell ref="K54:M54"/>
    <mergeCell ref="K55:M55"/>
    <mergeCell ref="K56:M56"/>
    <mergeCell ref="K57:M57"/>
    <mergeCell ref="K52:M53"/>
    <mergeCell ref="K49:M49"/>
    <mergeCell ref="K50:M50"/>
    <mergeCell ref="K51:M51"/>
    <mergeCell ref="H42:J47"/>
    <mergeCell ref="E42:G47"/>
    <mergeCell ref="E48:G51"/>
    <mergeCell ref="H48:J51"/>
    <mergeCell ref="K45:M45"/>
    <mergeCell ref="K46:M46"/>
    <mergeCell ref="K47:M47"/>
    <mergeCell ref="K48:M48"/>
    <mergeCell ref="K42:M42"/>
    <mergeCell ref="K43:M43"/>
    <mergeCell ref="K44:M44"/>
    <mergeCell ref="E27:G32"/>
    <mergeCell ref="K27:M27"/>
    <mergeCell ref="K28:M28"/>
    <mergeCell ref="K29:M29"/>
    <mergeCell ref="K30:M30"/>
    <mergeCell ref="K31:M31"/>
    <mergeCell ref="K32:M32"/>
    <mergeCell ref="H38:J41"/>
    <mergeCell ref="E38:G41"/>
    <mergeCell ref="H33:J37"/>
    <mergeCell ref="E33:G37"/>
    <mergeCell ref="K35:M35"/>
    <mergeCell ref="K36:M36"/>
    <mergeCell ref="K37:M37"/>
    <mergeCell ref="K38:M38"/>
    <mergeCell ref="K39:M39"/>
    <mergeCell ref="K40:M40"/>
    <mergeCell ref="K41:M41"/>
    <mergeCell ref="K33:M33"/>
    <mergeCell ref="K34:M34"/>
    <mergeCell ref="H27:J32"/>
    <mergeCell ref="K25:M25"/>
    <mergeCell ref="K26:M26"/>
    <mergeCell ref="H18:J24"/>
    <mergeCell ref="E18:G24"/>
    <mergeCell ref="K19:M19"/>
    <mergeCell ref="K20:M20"/>
    <mergeCell ref="H12:J17"/>
    <mergeCell ref="E12:G17"/>
    <mergeCell ref="K21:M21"/>
    <mergeCell ref="K22:M22"/>
    <mergeCell ref="K13:M13"/>
    <mergeCell ref="K14:M14"/>
    <mergeCell ref="K15:M15"/>
    <mergeCell ref="K16:M16"/>
    <mergeCell ref="K17:M17"/>
    <mergeCell ref="K18:M18"/>
    <mergeCell ref="H25:J26"/>
    <mergeCell ref="E25:G26"/>
    <mergeCell ref="K11:M11"/>
    <mergeCell ref="K12:M12"/>
    <mergeCell ref="E11:G11"/>
    <mergeCell ref="H8:J8"/>
    <mergeCell ref="H9:J9"/>
    <mergeCell ref="H10:J10"/>
    <mergeCell ref="H11:J11"/>
    <mergeCell ref="K23:M23"/>
    <mergeCell ref="K24:M24"/>
    <mergeCell ref="K7:M7"/>
    <mergeCell ref="H5:J7"/>
    <mergeCell ref="E5:G10"/>
    <mergeCell ref="E4:G4"/>
    <mergeCell ref="H4:J4"/>
    <mergeCell ref="K4:M4"/>
    <mergeCell ref="E3:N3"/>
    <mergeCell ref="K5:M5"/>
    <mergeCell ref="K6:M6"/>
    <mergeCell ref="K8:M8"/>
    <mergeCell ref="K9:M9"/>
    <mergeCell ref="K10:M10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</sheetPr>
  <dimension ref="B1:N346"/>
  <sheetViews>
    <sheetView showGridLines="0" view="pageBreakPreview" topLeftCell="A5" zoomScaleNormal="100" zoomScaleSheetLayoutView="100" workbookViewId="0">
      <selection activeCell="I310" sqref="I310"/>
    </sheetView>
  </sheetViews>
  <sheetFormatPr defaultColWidth="11.42578125" defaultRowHeight="10.5"/>
  <cols>
    <col min="1" max="1" width="4.7109375" style="308" customWidth="1"/>
    <col min="2" max="2" width="7.7109375" style="538" customWidth="1"/>
    <col min="3" max="3" width="3.28515625" style="420" customWidth="1"/>
    <col min="4" max="4" width="11" style="420" customWidth="1"/>
    <col min="5" max="5" width="10.7109375" style="537" customWidth="1"/>
    <col min="6" max="6" width="15.140625" style="537" customWidth="1"/>
    <col min="7" max="7" width="4.42578125" style="538" customWidth="1"/>
    <col min="8" max="8" width="9.5703125" style="308" customWidth="1"/>
    <col min="9" max="9" width="10.7109375" style="388" customWidth="1"/>
    <col min="10" max="10" width="14" style="388" customWidth="1"/>
    <col min="11" max="11" width="6.7109375" style="540" customWidth="1"/>
    <col min="12" max="12" width="6.5703125" style="308" customWidth="1"/>
    <col min="13" max="13" width="3.42578125" style="308" customWidth="1"/>
    <col min="14" max="256" width="11.42578125" style="308"/>
    <col min="257" max="257" width="4.7109375" style="308" customWidth="1"/>
    <col min="258" max="258" width="7.7109375" style="308" customWidth="1"/>
    <col min="259" max="259" width="3.28515625" style="308" customWidth="1"/>
    <col min="260" max="260" width="11" style="308" customWidth="1"/>
    <col min="261" max="261" width="10.7109375" style="308" customWidth="1"/>
    <col min="262" max="262" width="15.140625" style="308" customWidth="1"/>
    <col min="263" max="263" width="4.42578125" style="308" customWidth="1"/>
    <col min="264" max="264" width="9.5703125" style="308" customWidth="1"/>
    <col min="265" max="265" width="10.7109375" style="308" customWidth="1"/>
    <col min="266" max="266" width="14" style="308" customWidth="1"/>
    <col min="267" max="267" width="6.7109375" style="308" customWidth="1"/>
    <col min="268" max="268" width="6.5703125" style="308" customWidth="1"/>
    <col min="269" max="269" width="3.42578125" style="308" customWidth="1"/>
    <col min="270" max="512" width="11.42578125" style="308"/>
    <col min="513" max="513" width="4.7109375" style="308" customWidth="1"/>
    <col min="514" max="514" width="7.7109375" style="308" customWidth="1"/>
    <col min="515" max="515" width="3.28515625" style="308" customWidth="1"/>
    <col min="516" max="516" width="11" style="308" customWidth="1"/>
    <col min="517" max="517" width="10.7109375" style="308" customWidth="1"/>
    <col min="518" max="518" width="15.140625" style="308" customWidth="1"/>
    <col min="519" max="519" width="4.42578125" style="308" customWidth="1"/>
    <col min="520" max="520" width="9.5703125" style="308" customWidth="1"/>
    <col min="521" max="521" width="10.7109375" style="308" customWidth="1"/>
    <col min="522" max="522" width="14" style="308" customWidth="1"/>
    <col min="523" max="523" width="6.7109375" style="308" customWidth="1"/>
    <col min="524" max="524" width="6.5703125" style="308" customWidth="1"/>
    <col min="525" max="525" width="3.42578125" style="308" customWidth="1"/>
    <col min="526" max="768" width="11.42578125" style="308"/>
    <col min="769" max="769" width="4.7109375" style="308" customWidth="1"/>
    <col min="770" max="770" width="7.7109375" style="308" customWidth="1"/>
    <col min="771" max="771" width="3.28515625" style="308" customWidth="1"/>
    <col min="772" max="772" width="11" style="308" customWidth="1"/>
    <col min="773" max="773" width="10.7109375" style="308" customWidth="1"/>
    <col min="774" max="774" width="15.140625" style="308" customWidth="1"/>
    <col min="775" max="775" width="4.42578125" style="308" customWidth="1"/>
    <col min="776" max="776" width="9.5703125" style="308" customWidth="1"/>
    <col min="777" max="777" width="10.7109375" style="308" customWidth="1"/>
    <col min="778" max="778" width="14" style="308" customWidth="1"/>
    <col min="779" max="779" width="6.7109375" style="308" customWidth="1"/>
    <col min="780" max="780" width="6.5703125" style="308" customWidth="1"/>
    <col min="781" max="781" width="3.42578125" style="308" customWidth="1"/>
    <col min="782" max="1024" width="11.42578125" style="308"/>
    <col min="1025" max="1025" width="4.7109375" style="308" customWidth="1"/>
    <col min="1026" max="1026" width="7.7109375" style="308" customWidth="1"/>
    <col min="1027" max="1027" width="3.28515625" style="308" customWidth="1"/>
    <col min="1028" max="1028" width="11" style="308" customWidth="1"/>
    <col min="1029" max="1029" width="10.7109375" style="308" customWidth="1"/>
    <col min="1030" max="1030" width="15.140625" style="308" customWidth="1"/>
    <col min="1031" max="1031" width="4.42578125" style="308" customWidth="1"/>
    <col min="1032" max="1032" width="9.5703125" style="308" customWidth="1"/>
    <col min="1033" max="1033" width="10.7109375" style="308" customWidth="1"/>
    <col min="1034" max="1034" width="14" style="308" customWidth="1"/>
    <col min="1035" max="1035" width="6.7109375" style="308" customWidth="1"/>
    <col min="1036" max="1036" width="6.5703125" style="308" customWidth="1"/>
    <col min="1037" max="1037" width="3.42578125" style="308" customWidth="1"/>
    <col min="1038" max="1280" width="11.42578125" style="308"/>
    <col min="1281" max="1281" width="4.7109375" style="308" customWidth="1"/>
    <col min="1282" max="1282" width="7.7109375" style="308" customWidth="1"/>
    <col min="1283" max="1283" width="3.28515625" style="308" customWidth="1"/>
    <col min="1284" max="1284" width="11" style="308" customWidth="1"/>
    <col min="1285" max="1285" width="10.7109375" style="308" customWidth="1"/>
    <col min="1286" max="1286" width="15.140625" style="308" customWidth="1"/>
    <col min="1287" max="1287" width="4.42578125" style="308" customWidth="1"/>
    <col min="1288" max="1288" width="9.5703125" style="308" customWidth="1"/>
    <col min="1289" max="1289" width="10.7109375" style="308" customWidth="1"/>
    <col min="1290" max="1290" width="14" style="308" customWidth="1"/>
    <col min="1291" max="1291" width="6.7109375" style="308" customWidth="1"/>
    <col min="1292" max="1292" width="6.5703125" style="308" customWidth="1"/>
    <col min="1293" max="1293" width="3.42578125" style="308" customWidth="1"/>
    <col min="1294" max="1536" width="11.42578125" style="308"/>
    <col min="1537" max="1537" width="4.7109375" style="308" customWidth="1"/>
    <col min="1538" max="1538" width="7.7109375" style="308" customWidth="1"/>
    <col min="1539" max="1539" width="3.28515625" style="308" customWidth="1"/>
    <col min="1540" max="1540" width="11" style="308" customWidth="1"/>
    <col min="1541" max="1541" width="10.7109375" style="308" customWidth="1"/>
    <col min="1542" max="1542" width="15.140625" style="308" customWidth="1"/>
    <col min="1543" max="1543" width="4.42578125" style="308" customWidth="1"/>
    <col min="1544" max="1544" width="9.5703125" style="308" customWidth="1"/>
    <col min="1545" max="1545" width="10.7109375" style="308" customWidth="1"/>
    <col min="1546" max="1546" width="14" style="308" customWidth="1"/>
    <col min="1547" max="1547" width="6.7109375" style="308" customWidth="1"/>
    <col min="1548" max="1548" width="6.5703125" style="308" customWidth="1"/>
    <col min="1549" max="1549" width="3.42578125" style="308" customWidth="1"/>
    <col min="1550" max="1792" width="11.42578125" style="308"/>
    <col min="1793" max="1793" width="4.7109375" style="308" customWidth="1"/>
    <col min="1794" max="1794" width="7.7109375" style="308" customWidth="1"/>
    <col min="1795" max="1795" width="3.28515625" style="308" customWidth="1"/>
    <col min="1796" max="1796" width="11" style="308" customWidth="1"/>
    <col min="1797" max="1797" width="10.7109375" style="308" customWidth="1"/>
    <col min="1798" max="1798" width="15.140625" style="308" customWidth="1"/>
    <col min="1799" max="1799" width="4.42578125" style="308" customWidth="1"/>
    <col min="1800" max="1800" width="9.5703125" style="308" customWidth="1"/>
    <col min="1801" max="1801" width="10.7109375" style="308" customWidth="1"/>
    <col min="1802" max="1802" width="14" style="308" customWidth="1"/>
    <col min="1803" max="1803" width="6.7109375" style="308" customWidth="1"/>
    <col min="1804" max="1804" width="6.5703125" style="308" customWidth="1"/>
    <col min="1805" max="1805" width="3.42578125" style="308" customWidth="1"/>
    <col min="1806" max="2048" width="11.42578125" style="308"/>
    <col min="2049" max="2049" width="4.7109375" style="308" customWidth="1"/>
    <col min="2050" max="2050" width="7.7109375" style="308" customWidth="1"/>
    <col min="2051" max="2051" width="3.28515625" style="308" customWidth="1"/>
    <col min="2052" max="2052" width="11" style="308" customWidth="1"/>
    <col min="2053" max="2053" width="10.7109375" style="308" customWidth="1"/>
    <col min="2054" max="2054" width="15.140625" style="308" customWidth="1"/>
    <col min="2055" max="2055" width="4.42578125" style="308" customWidth="1"/>
    <col min="2056" max="2056" width="9.5703125" style="308" customWidth="1"/>
    <col min="2057" max="2057" width="10.7109375" style="308" customWidth="1"/>
    <col min="2058" max="2058" width="14" style="308" customWidth="1"/>
    <col min="2059" max="2059" width="6.7109375" style="308" customWidth="1"/>
    <col min="2060" max="2060" width="6.5703125" style="308" customWidth="1"/>
    <col min="2061" max="2061" width="3.42578125" style="308" customWidth="1"/>
    <col min="2062" max="2304" width="11.42578125" style="308"/>
    <col min="2305" max="2305" width="4.7109375" style="308" customWidth="1"/>
    <col min="2306" max="2306" width="7.7109375" style="308" customWidth="1"/>
    <col min="2307" max="2307" width="3.28515625" style="308" customWidth="1"/>
    <col min="2308" max="2308" width="11" style="308" customWidth="1"/>
    <col min="2309" max="2309" width="10.7109375" style="308" customWidth="1"/>
    <col min="2310" max="2310" width="15.140625" style="308" customWidth="1"/>
    <col min="2311" max="2311" width="4.42578125" style="308" customWidth="1"/>
    <col min="2312" max="2312" width="9.5703125" style="308" customWidth="1"/>
    <col min="2313" max="2313" width="10.7109375" style="308" customWidth="1"/>
    <col min="2314" max="2314" width="14" style="308" customWidth="1"/>
    <col min="2315" max="2315" width="6.7109375" style="308" customWidth="1"/>
    <col min="2316" max="2316" width="6.5703125" style="308" customWidth="1"/>
    <col min="2317" max="2317" width="3.42578125" style="308" customWidth="1"/>
    <col min="2318" max="2560" width="11.42578125" style="308"/>
    <col min="2561" max="2561" width="4.7109375" style="308" customWidth="1"/>
    <col min="2562" max="2562" width="7.7109375" style="308" customWidth="1"/>
    <col min="2563" max="2563" width="3.28515625" style="308" customWidth="1"/>
    <col min="2564" max="2564" width="11" style="308" customWidth="1"/>
    <col min="2565" max="2565" width="10.7109375" style="308" customWidth="1"/>
    <col min="2566" max="2566" width="15.140625" style="308" customWidth="1"/>
    <col min="2567" max="2567" width="4.42578125" style="308" customWidth="1"/>
    <col min="2568" max="2568" width="9.5703125" style="308" customWidth="1"/>
    <col min="2569" max="2569" width="10.7109375" style="308" customWidth="1"/>
    <col min="2570" max="2570" width="14" style="308" customWidth="1"/>
    <col min="2571" max="2571" width="6.7109375" style="308" customWidth="1"/>
    <col min="2572" max="2572" width="6.5703125" style="308" customWidth="1"/>
    <col min="2573" max="2573" width="3.42578125" style="308" customWidth="1"/>
    <col min="2574" max="2816" width="11.42578125" style="308"/>
    <col min="2817" max="2817" width="4.7109375" style="308" customWidth="1"/>
    <col min="2818" max="2818" width="7.7109375" style="308" customWidth="1"/>
    <col min="2819" max="2819" width="3.28515625" style="308" customWidth="1"/>
    <col min="2820" max="2820" width="11" style="308" customWidth="1"/>
    <col min="2821" max="2821" width="10.7109375" style="308" customWidth="1"/>
    <col min="2822" max="2822" width="15.140625" style="308" customWidth="1"/>
    <col min="2823" max="2823" width="4.42578125" style="308" customWidth="1"/>
    <col min="2824" max="2824" width="9.5703125" style="308" customWidth="1"/>
    <col min="2825" max="2825" width="10.7109375" style="308" customWidth="1"/>
    <col min="2826" max="2826" width="14" style="308" customWidth="1"/>
    <col min="2827" max="2827" width="6.7109375" style="308" customWidth="1"/>
    <col min="2828" max="2828" width="6.5703125" style="308" customWidth="1"/>
    <col min="2829" max="2829" width="3.42578125" style="308" customWidth="1"/>
    <col min="2830" max="3072" width="11.42578125" style="308"/>
    <col min="3073" max="3073" width="4.7109375" style="308" customWidth="1"/>
    <col min="3074" max="3074" width="7.7109375" style="308" customWidth="1"/>
    <col min="3075" max="3075" width="3.28515625" style="308" customWidth="1"/>
    <col min="3076" max="3076" width="11" style="308" customWidth="1"/>
    <col min="3077" max="3077" width="10.7109375" style="308" customWidth="1"/>
    <col min="3078" max="3078" width="15.140625" style="308" customWidth="1"/>
    <col min="3079" max="3079" width="4.42578125" style="308" customWidth="1"/>
    <col min="3080" max="3080" width="9.5703125" style="308" customWidth="1"/>
    <col min="3081" max="3081" width="10.7109375" style="308" customWidth="1"/>
    <col min="3082" max="3082" width="14" style="308" customWidth="1"/>
    <col min="3083" max="3083" width="6.7109375" style="308" customWidth="1"/>
    <col min="3084" max="3084" width="6.5703125" style="308" customWidth="1"/>
    <col min="3085" max="3085" width="3.42578125" style="308" customWidth="1"/>
    <col min="3086" max="3328" width="11.42578125" style="308"/>
    <col min="3329" max="3329" width="4.7109375" style="308" customWidth="1"/>
    <col min="3330" max="3330" width="7.7109375" style="308" customWidth="1"/>
    <col min="3331" max="3331" width="3.28515625" style="308" customWidth="1"/>
    <col min="3332" max="3332" width="11" style="308" customWidth="1"/>
    <col min="3333" max="3333" width="10.7109375" style="308" customWidth="1"/>
    <col min="3334" max="3334" width="15.140625" style="308" customWidth="1"/>
    <col min="3335" max="3335" width="4.42578125" style="308" customWidth="1"/>
    <col min="3336" max="3336" width="9.5703125" style="308" customWidth="1"/>
    <col min="3337" max="3337" width="10.7109375" style="308" customWidth="1"/>
    <col min="3338" max="3338" width="14" style="308" customWidth="1"/>
    <col min="3339" max="3339" width="6.7109375" style="308" customWidth="1"/>
    <col min="3340" max="3340" width="6.5703125" style="308" customWidth="1"/>
    <col min="3341" max="3341" width="3.42578125" style="308" customWidth="1"/>
    <col min="3342" max="3584" width="11.42578125" style="308"/>
    <col min="3585" max="3585" width="4.7109375" style="308" customWidth="1"/>
    <col min="3586" max="3586" width="7.7109375" style="308" customWidth="1"/>
    <col min="3587" max="3587" width="3.28515625" style="308" customWidth="1"/>
    <col min="3588" max="3588" width="11" style="308" customWidth="1"/>
    <col min="3589" max="3589" width="10.7109375" style="308" customWidth="1"/>
    <col min="3590" max="3590" width="15.140625" style="308" customWidth="1"/>
    <col min="3591" max="3591" width="4.42578125" style="308" customWidth="1"/>
    <col min="3592" max="3592" width="9.5703125" style="308" customWidth="1"/>
    <col min="3593" max="3593" width="10.7109375" style="308" customWidth="1"/>
    <col min="3594" max="3594" width="14" style="308" customWidth="1"/>
    <col min="3595" max="3595" width="6.7109375" style="308" customWidth="1"/>
    <col min="3596" max="3596" width="6.5703125" style="308" customWidth="1"/>
    <col min="3597" max="3597" width="3.42578125" style="308" customWidth="1"/>
    <col min="3598" max="3840" width="11.42578125" style="308"/>
    <col min="3841" max="3841" width="4.7109375" style="308" customWidth="1"/>
    <col min="3842" max="3842" width="7.7109375" style="308" customWidth="1"/>
    <col min="3843" max="3843" width="3.28515625" style="308" customWidth="1"/>
    <col min="3844" max="3844" width="11" style="308" customWidth="1"/>
    <col min="3845" max="3845" width="10.7109375" style="308" customWidth="1"/>
    <col min="3846" max="3846" width="15.140625" style="308" customWidth="1"/>
    <col min="3847" max="3847" width="4.42578125" style="308" customWidth="1"/>
    <col min="3848" max="3848" width="9.5703125" style="308" customWidth="1"/>
    <col min="3849" max="3849" width="10.7109375" style="308" customWidth="1"/>
    <col min="3850" max="3850" width="14" style="308" customWidth="1"/>
    <col min="3851" max="3851" width="6.7109375" style="308" customWidth="1"/>
    <col min="3852" max="3852" width="6.5703125" style="308" customWidth="1"/>
    <col min="3853" max="3853" width="3.42578125" style="308" customWidth="1"/>
    <col min="3854" max="4096" width="11.42578125" style="308"/>
    <col min="4097" max="4097" width="4.7109375" style="308" customWidth="1"/>
    <col min="4098" max="4098" width="7.7109375" style="308" customWidth="1"/>
    <col min="4099" max="4099" width="3.28515625" style="308" customWidth="1"/>
    <col min="4100" max="4100" width="11" style="308" customWidth="1"/>
    <col min="4101" max="4101" width="10.7109375" style="308" customWidth="1"/>
    <col min="4102" max="4102" width="15.140625" style="308" customWidth="1"/>
    <col min="4103" max="4103" width="4.42578125" style="308" customWidth="1"/>
    <col min="4104" max="4104" width="9.5703125" style="308" customWidth="1"/>
    <col min="4105" max="4105" width="10.7109375" style="308" customWidth="1"/>
    <col min="4106" max="4106" width="14" style="308" customWidth="1"/>
    <col min="4107" max="4107" width="6.7109375" style="308" customWidth="1"/>
    <col min="4108" max="4108" width="6.5703125" style="308" customWidth="1"/>
    <col min="4109" max="4109" width="3.42578125" style="308" customWidth="1"/>
    <col min="4110" max="4352" width="11.42578125" style="308"/>
    <col min="4353" max="4353" width="4.7109375" style="308" customWidth="1"/>
    <col min="4354" max="4354" width="7.7109375" style="308" customWidth="1"/>
    <col min="4355" max="4355" width="3.28515625" style="308" customWidth="1"/>
    <col min="4356" max="4356" width="11" style="308" customWidth="1"/>
    <col min="4357" max="4357" width="10.7109375" style="308" customWidth="1"/>
    <col min="4358" max="4358" width="15.140625" style="308" customWidth="1"/>
    <col min="4359" max="4359" width="4.42578125" style="308" customWidth="1"/>
    <col min="4360" max="4360" width="9.5703125" style="308" customWidth="1"/>
    <col min="4361" max="4361" width="10.7109375" style="308" customWidth="1"/>
    <col min="4362" max="4362" width="14" style="308" customWidth="1"/>
    <col min="4363" max="4363" width="6.7109375" style="308" customWidth="1"/>
    <col min="4364" max="4364" width="6.5703125" style="308" customWidth="1"/>
    <col min="4365" max="4365" width="3.42578125" style="308" customWidth="1"/>
    <col min="4366" max="4608" width="11.42578125" style="308"/>
    <col min="4609" max="4609" width="4.7109375" style="308" customWidth="1"/>
    <col min="4610" max="4610" width="7.7109375" style="308" customWidth="1"/>
    <col min="4611" max="4611" width="3.28515625" style="308" customWidth="1"/>
    <col min="4612" max="4612" width="11" style="308" customWidth="1"/>
    <col min="4613" max="4613" width="10.7109375" style="308" customWidth="1"/>
    <col min="4614" max="4614" width="15.140625" style="308" customWidth="1"/>
    <col min="4615" max="4615" width="4.42578125" style="308" customWidth="1"/>
    <col min="4616" max="4616" width="9.5703125" style="308" customWidth="1"/>
    <col min="4617" max="4617" width="10.7109375" style="308" customWidth="1"/>
    <col min="4618" max="4618" width="14" style="308" customWidth="1"/>
    <col min="4619" max="4619" width="6.7109375" style="308" customWidth="1"/>
    <col min="4620" max="4620" width="6.5703125" style="308" customWidth="1"/>
    <col min="4621" max="4621" width="3.42578125" style="308" customWidth="1"/>
    <col min="4622" max="4864" width="11.42578125" style="308"/>
    <col min="4865" max="4865" width="4.7109375" style="308" customWidth="1"/>
    <col min="4866" max="4866" width="7.7109375" style="308" customWidth="1"/>
    <col min="4867" max="4867" width="3.28515625" style="308" customWidth="1"/>
    <col min="4868" max="4868" width="11" style="308" customWidth="1"/>
    <col min="4869" max="4869" width="10.7109375" style="308" customWidth="1"/>
    <col min="4870" max="4870" width="15.140625" style="308" customWidth="1"/>
    <col min="4871" max="4871" width="4.42578125" style="308" customWidth="1"/>
    <col min="4872" max="4872" width="9.5703125" style="308" customWidth="1"/>
    <col min="4873" max="4873" width="10.7109375" style="308" customWidth="1"/>
    <col min="4874" max="4874" width="14" style="308" customWidth="1"/>
    <col min="4875" max="4875" width="6.7109375" style="308" customWidth="1"/>
    <col min="4876" max="4876" width="6.5703125" style="308" customWidth="1"/>
    <col min="4877" max="4877" width="3.42578125" style="308" customWidth="1"/>
    <col min="4878" max="5120" width="11.42578125" style="308"/>
    <col min="5121" max="5121" width="4.7109375" style="308" customWidth="1"/>
    <col min="5122" max="5122" width="7.7109375" style="308" customWidth="1"/>
    <col min="5123" max="5123" width="3.28515625" style="308" customWidth="1"/>
    <col min="5124" max="5124" width="11" style="308" customWidth="1"/>
    <col min="5125" max="5125" width="10.7109375" style="308" customWidth="1"/>
    <col min="5126" max="5126" width="15.140625" style="308" customWidth="1"/>
    <col min="5127" max="5127" width="4.42578125" style="308" customWidth="1"/>
    <col min="5128" max="5128" width="9.5703125" style="308" customWidth="1"/>
    <col min="5129" max="5129" width="10.7109375" style="308" customWidth="1"/>
    <col min="5130" max="5130" width="14" style="308" customWidth="1"/>
    <col min="5131" max="5131" width="6.7109375" style="308" customWidth="1"/>
    <col min="5132" max="5132" width="6.5703125" style="308" customWidth="1"/>
    <col min="5133" max="5133" width="3.42578125" style="308" customWidth="1"/>
    <col min="5134" max="5376" width="11.42578125" style="308"/>
    <col min="5377" max="5377" width="4.7109375" style="308" customWidth="1"/>
    <col min="5378" max="5378" width="7.7109375" style="308" customWidth="1"/>
    <col min="5379" max="5379" width="3.28515625" style="308" customWidth="1"/>
    <col min="5380" max="5380" width="11" style="308" customWidth="1"/>
    <col min="5381" max="5381" width="10.7109375" style="308" customWidth="1"/>
    <col min="5382" max="5382" width="15.140625" style="308" customWidth="1"/>
    <col min="5383" max="5383" width="4.42578125" style="308" customWidth="1"/>
    <col min="5384" max="5384" width="9.5703125" style="308" customWidth="1"/>
    <col min="5385" max="5385" width="10.7109375" style="308" customWidth="1"/>
    <col min="5386" max="5386" width="14" style="308" customWidth="1"/>
    <col min="5387" max="5387" width="6.7109375" style="308" customWidth="1"/>
    <col min="5388" max="5388" width="6.5703125" style="308" customWidth="1"/>
    <col min="5389" max="5389" width="3.42578125" style="308" customWidth="1"/>
    <col min="5390" max="5632" width="11.42578125" style="308"/>
    <col min="5633" max="5633" width="4.7109375" style="308" customWidth="1"/>
    <col min="5634" max="5634" width="7.7109375" style="308" customWidth="1"/>
    <col min="5635" max="5635" width="3.28515625" style="308" customWidth="1"/>
    <col min="5636" max="5636" width="11" style="308" customWidth="1"/>
    <col min="5637" max="5637" width="10.7109375" style="308" customWidth="1"/>
    <col min="5638" max="5638" width="15.140625" style="308" customWidth="1"/>
    <col min="5639" max="5639" width="4.42578125" style="308" customWidth="1"/>
    <col min="5640" max="5640" width="9.5703125" style="308" customWidth="1"/>
    <col min="5641" max="5641" width="10.7109375" style="308" customWidth="1"/>
    <col min="5642" max="5642" width="14" style="308" customWidth="1"/>
    <col min="5643" max="5643" width="6.7109375" style="308" customWidth="1"/>
    <col min="5644" max="5644" width="6.5703125" style="308" customWidth="1"/>
    <col min="5645" max="5645" width="3.42578125" style="308" customWidth="1"/>
    <col min="5646" max="5888" width="11.42578125" style="308"/>
    <col min="5889" max="5889" width="4.7109375" style="308" customWidth="1"/>
    <col min="5890" max="5890" width="7.7109375" style="308" customWidth="1"/>
    <col min="5891" max="5891" width="3.28515625" style="308" customWidth="1"/>
    <col min="5892" max="5892" width="11" style="308" customWidth="1"/>
    <col min="5893" max="5893" width="10.7109375" style="308" customWidth="1"/>
    <col min="5894" max="5894" width="15.140625" style="308" customWidth="1"/>
    <col min="5895" max="5895" width="4.42578125" style="308" customWidth="1"/>
    <col min="5896" max="5896" width="9.5703125" style="308" customWidth="1"/>
    <col min="5897" max="5897" width="10.7109375" style="308" customWidth="1"/>
    <col min="5898" max="5898" width="14" style="308" customWidth="1"/>
    <col min="5899" max="5899" width="6.7109375" style="308" customWidth="1"/>
    <col min="5900" max="5900" width="6.5703125" style="308" customWidth="1"/>
    <col min="5901" max="5901" width="3.42578125" style="308" customWidth="1"/>
    <col min="5902" max="6144" width="11.42578125" style="308"/>
    <col min="6145" max="6145" width="4.7109375" style="308" customWidth="1"/>
    <col min="6146" max="6146" width="7.7109375" style="308" customWidth="1"/>
    <col min="6147" max="6147" width="3.28515625" style="308" customWidth="1"/>
    <col min="6148" max="6148" width="11" style="308" customWidth="1"/>
    <col min="6149" max="6149" width="10.7109375" style="308" customWidth="1"/>
    <col min="6150" max="6150" width="15.140625" style="308" customWidth="1"/>
    <col min="6151" max="6151" width="4.42578125" style="308" customWidth="1"/>
    <col min="6152" max="6152" width="9.5703125" style="308" customWidth="1"/>
    <col min="6153" max="6153" width="10.7109375" style="308" customWidth="1"/>
    <col min="6154" max="6154" width="14" style="308" customWidth="1"/>
    <col min="6155" max="6155" width="6.7109375" style="308" customWidth="1"/>
    <col min="6156" max="6156" width="6.5703125" style="308" customWidth="1"/>
    <col min="6157" max="6157" width="3.42578125" style="308" customWidth="1"/>
    <col min="6158" max="6400" width="11.42578125" style="308"/>
    <col min="6401" max="6401" width="4.7109375" style="308" customWidth="1"/>
    <col min="6402" max="6402" width="7.7109375" style="308" customWidth="1"/>
    <col min="6403" max="6403" width="3.28515625" style="308" customWidth="1"/>
    <col min="6404" max="6404" width="11" style="308" customWidth="1"/>
    <col min="6405" max="6405" width="10.7109375" style="308" customWidth="1"/>
    <col min="6406" max="6406" width="15.140625" style="308" customWidth="1"/>
    <col min="6407" max="6407" width="4.42578125" style="308" customWidth="1"/>
    <col min="6408" max="6408" width="9.5703125" style="308" customWidth="1"/>
    <col min="6409" max="6409" width="10.7109375" style="308" customWidth="1"/>
    <col min="6410" max="6410" width="14" style="308" customWidth="1"/>
    <col min="6411" max="6411" width="6.7109375" style="308" customWidth="1"/>
    <col min="6412" max="6412" width="6.5703125" style="308" customWidth="1"/>
    <col min="6413" max="6413" width="3.42578125" style="308" customWidth="1"/>
    <col min="6414" max="6656" width="11.42578125" style="308"/>
    <col min="6657" max="6657" width="4.7109375" style="308" customWidth="1"/>
    <col min="6658" max="6658" width="7.7109375" style="308" customWidth="1"/>
    <col min="6659" max="6659" width="3.28515625" style="308" customWidth="1"/>
    <col min="6660" max="6660" width="11" style="308" customWidth="1"/>
    <col min="6661" max="6661" width="10.7109375" style="308" customWidth="1"/>
    <col min="6662" max="6662" width="15.140625" style="308" customWidth="1"/>
    <col min="6663" max="6663" width="4.42578125" style="308" customWidth="1"/>
    <col min="6664" max="6664" width="9.5703125" style="308" customWidth="1"/>
    <col min="6665" max="6665" width="10.7109375" style="308" customWidth="1"/>
    <col min="6666" max="6666" width="14" style="308" customWidth="1"/>
    <col min="6667" max="6667" width="6.7109375" style="308" customWidth="1"/>
    <col min="6668" max="6668" width="6.5703125" style="308" customWidth="1"/>
    <col min="6669" max="6669" width="3.42578125" style="308" customWidth="1"/>
    <col min="6670" max="6912" width="11.42578125" style="308"/>
    <col min="6913" max="6913" width="4.7109375" style="308" customWidth="1"/>
    <col min="6914" max="6914" width="7.7109375" style="308" customWidth="1"/>
    <col min="6915" max="6915" width="3.28515625" style="308" customWidth="1"/>
    <col min="6916" max="6916" width="11" style="308" customWidth="1"/>
    <col min="6917" max="6917" width="10.7109375" style="308" customWidth="1"/>
    <col min="6918" max="6918" width="15.140625" style="308" customWidth="1"/>
    <col min="6919" max="6919" width="4.42578125" style="308" customWidth="1"/>
    <col min="6920" max="6920" width="9.5703125" style="308" customWidth="1"/>
    <col min="6921" max="6921" width="10.7109375" style="308" customWidth="1"/>
    <col min="6922" max="6922" width="14" style="308" customWidth="1"/>
    <col min="6923" max="6923" width="6.7109375" style="308" customWidth="1"/>
    <col min="6924" max="6924" width="6.5703125" style="308" customWidth="1"/>
    <col min="6925" max="6925" width="3.42578125" style="308" customWidth="1"/>
    <col min="6926" max="7168" width="11.42578125" style="308"/>
    <col min="7169" max="7169" width="4.7109375" style="308" customWidth="1"/>
    <col min="7170" max="7170" width="7.7109375" style="308" customWidth="1"/>
    <col min="7171" max="7171" width="3.28515625" style="308" customWidth="1"/>
    <col min="7172" max="7172" width="11" style="308" customWidth="1"/>
    <col min="7173" max="7173" width="10.7109375" style="308" customWidth="1"/>
    <col min="7174" max="7174" width="15.140625" style="308" customWidth="1"/>
    <col min="7175" max="7175" width="4.42578125" style="308" customWidth="1"/>
    <col min="7176" max="7176" width="9.5703125" style="308" customWidth="1"/>
    <col min="7177" max="7177" width="10.7109375" style="308" customWidth="1"/>
    <col min="7178" max="7178" width="14" style="308" customWidth="1"/>
    <col min="7179" max="7179" width="6.7109375" style="308" customWidth="1"/>
    <col min="7180" max="7180" width="6.5703125" style="308" customWidth="1"/>
    <col min="7181" max="7181" width="3.42578125" style="308" customWidth="1"/>
    <col min="7182" max="7424" width="11.42578125" style="308"/>
    <col min="7425" max="7425" width="4.7109375" style="308" customWidth="1"/>
    <col min="7426" max="7426" width="7.7109375" style="308" customWidth="1"/>
    <col min="7427" max="7427" width="3.28515625" style="308" customWidth="1"/>
    <col min="7428" max="7428" width="11" style="308" customWidth="1"/>
    <col min="7429" max="7429" width="10.7109375" style="308" customWidth="1"/>
    <col min="7430" max="7430" width="15.140625" style="308" customWidth="1"/>
    <col min="7431" max="7431" width="4.42578125" style="308" customWidth="1"/>
    <col min="7432" max="7432" width="9.5703125" style="308" customWidth="1"/>
    <col min="7433" max="7433" width="10.7109375" style="308" customWidth="1"/>
    <col min="7434" max="7434" width="14" style="308" customWidth="1"/>
    <col min="7435" max="7435" width="6.7109375" style="308" customWidth="1"/>
    <col min="7436" max="7436" width="6.5703125" style="308" customWidth="1"/>
    <col min="7437" max="7437" width="3.42578125" style="308" customWidth="1"/>
    <col min="7438" max="7680" width="11.42578125" style="308"/>
    <col min="7681" max="7681" width="4.7109375" style="308" customWidth="1"/>
    <col min="7682" max="7682" width="7.7109375" style="308" customWidth="1"/>
    <col min="7683" max="7683" width="3.28515625" style="308" customWidth="1"/>
    <col min="7684" max="7684" width="11" style="308" customWidth="1"/>
    <col min="7685" max="7685" width="10.7109375" style="308" customWidth="1"/>
    <col min="7686" max="7686" width="15.140625" style="308" customWidth="1"/>
    <col min="7687" max="7687" width="4.42578125" style="308" customWidth="1"/>
    <col min="7688" max="7688" width="9.5703125" style="308" customWidth="1"/>
    <col min="7689" max="7689" width="10.7109375" style="308" customWidth="1"/>
    <col min="7690" max="7690" width="14" style="308" customWidth="1"/>
    <col min="7691" max="7691" width="6.7109375" style="308" customWidth="1"/>
    <col min="7692" max="7692" width="6.5703125" style="308" customWidth="1"/>
    <col min="7693" max="7693" width="3.42578125" style="308" customWidth="1"/>
    <col min="7694" max="7936" width="11.42578125" style="308"/>
    <col min="7937" max="7937" width="4.7109375" style="308" customWidth="1"/>
    <col min="7938" max="7938" width="7.7109375" style="308" customWidth="1"/>
    <col min="7939" max="7939" width="3.28515625" style="308" customWidth="1"/>
    <col min="7940" max="7940" width="11" style="308" customWidth="1"/>
    <col min="7941" max="7941" width="10.7109375" style="308" customWidth="1"/>
    <col min="7942" max="7942" width="15.140625" style="308" customWidth="1"/>
    <col min="7943" max="7943" width="4.42578125" style="308" customWidth="1"/>
    <col min="7944" max="7944" width="9.5703125" style="308" customWidth="1"/>
    <col min="7945" max="7945" width="10.7109375" style="308" customWidth="1"/>
    <col min="7946" max="7946" width="14" style="308" customWidth="1"/>
    <col min="7947" max="7947" width="6.7109375" style="308" customWidth="1"/>
    <col min="7948" max="7948" width="6.5703125" style="308" customWidth="1"/>
    <col min="7949" max="7949" width="3.42578125" style="308" customWidth="1"/>
    <col min="7950" max="8192" width="11.42578125" style="308"/>
    <col min="8193" max="8193" width="4.7109375" style="308" customWidth="1"/>
    <col min="8194" max="8194" width="7.7109375" style="308" customWidth="1"/>
    <col min="8195" max="8195" width="3.28515625" style="308" customWidth="1"/>
    <col min="8196" max="8196" width="11" style="308" customWidth="1"/>
    <col min="8197" max="8197" width="10.7109375" style="308" customWidth="1"/>
    <col min="8198" max="8198" width="15.140625" style="308" customWidth="1"/>
    <col min="8199" max="8199" width="4.42578125" style="308" customWidth="1"/>
    <col min="8200" max="8200" width="9.5703125" style="308" customWidth="1"/>
    <col min="8201" max="8201" width="10.7109375" style="308" customWidth="1"/>
    <col min="8202" max="8202" width="14" style="308" customWidth="1"/>
    <col min="8203" max="8203" width="6.7109375" style="308" customWidth="1"/>
    <col min="8204" max="8204" width="6.5703125" style="308" customWidth="1"/>
    <col min="8205" max="8205" width="3.42578125" style="308" customWidth="1"/>
    <col min="8206" max="8448" width="11.42578125" style="308"/>
    <col min="8449" max="8449" width="4.7109375" style="308" customWidth="1"/>
    <col min="8450" max="8450" width="7.7109375" style="308" customWidth="1"/>
    <col min="8451" max="8451" width="3.28515625" style="308" customWidth="1"/>
    <col min="8452" max="8452" width="11" style="308" customWidth="1"/>
    <col min="8453" max="8453" width="10.7109375" style="308" customWidth="1"/>
    <col min="8454" max="8454" width="15.140625" style="308" customWidth="1"/>
    <col min="8455" max="8455" width="4.42578125" style="308" customWidth="1"/>
    <col min="8456" max="8456" width="9.5703125" style="308" customWidth="1"/>
    <col min="8457" max="8457" width="10.7109375" style="308" customWidth="1"/>
    <col min="8458" max="8458" width="14" style="308" customWidth="1"/>
    <col min="8459" max="8459" width="6.7109375" style="308" customWidth="1"/>
    <col min="8460" max="8460" width="6.5703125" style="308" customWidth="1"/>
    <col min="8461" max="8461" width="3.42578125" style="308" customWidth="1"/>
    <col min="8462" max="8704" width="11.42578125" style="308"/>
    <col min="8705" max="8705" width="4.7109375" style="308" customWidth="1"/>
    <col min="8706" max="8706" width="7.7109375" style="308" customWidth="1"/>
    <col min="8707" max="8707" width="3.28515625" style="308" customWidth="1"/>
    <col min="8708" max="8708" width="11" style="308" customWidth="1"/>
    <col min="8709" max="8709" width="10.7109375" style="308" customWidth="1"/>
    <col min="8710" max="8710" width="15.140625" style="308" customWidth="1"/>
    <col min="8711" max="8711" width="4.42578125" style="308" customWidth="1"/>
    <col min="8712" max="8712" width="9.5703125" style="308" customWidth="1"/>
    <col min="8713" max="8713" width="10.7109375" style="308" customWidth="1"/>
    <col min="8714" max="8714" width="14" style="308" customWidth="1"/>
    <col min="8715" max="8715" width="6.7109375" style="308" customWidth="1"/>
    <col min="8716" max="8716" width="6.5703125" style="308" customWidth="1"/>
    <col min="8717" max="8717" width="3.42578125" style="308" customWidth="1"/>
    <col min="8718" max="8960" width="11.42578125" style="308"/>
    <col min="8961" max="8961" width="4.7109375" style="308" customWidth="1"/>
    <col min="8962" max="8962" width="7.7109375" style="308" customWidth="1"/>
    <col min="8963" max="8963" width="3.28515625" style="308" customWidth="1"/>
    <col min="8964" max="8964" width="11" style="308" customWidth="1"/>
    <col min="8965" max="8965" width="10.7109375" style="308" customWidth="1"/>
    <col min="8966" max="8966" width="15.140625" style="308" customWidth="1"/>
    <col min="8967" max="8967" width="4.42578125" style="308" customWidth="1"/>
    <col min="8968" max="8968" width="9.5703125" style="308" customWidth="1"/>
    <col min="8969" max="8969" width="10.7109375" style="308" customWidth="1"/>
    <col min="8970" max="8970" width="14" style="308" customWidth="1"/>
    <col min="8971" max="8971" width="6.7109375" style="308" customWidth="1"/>
    <col min="8972" max="8972" width="6.5703125" style="308" customWidth="1"/>
    <col min="8973" max="8973" width="3.42578125" style="308" customWidth="1"/>
    <col min="8974" max="9216" width="11.42578125" style="308"/>
    <col min="9217" max="9217" width="4.7109375" style="308" customWidth="1"/>
    <col min="9218" max="9218" width="7.7109375" style="308" customWidth="1"/>
    <col min="9219" max="9219" width="3.28515625" style="308" customWidth="1"/>
    <col min="9220" max="9220" width="11" style="308" customWidth="1"/>
    <col min="9221" max="9221" width="10.7109375" style="308" customWidth="1"/>
    <col min="9222" max="9222" width="15.140625" style="308" customWidth="1"/>
    <col min="9223" max="9223" width="4.42578125" style="308" customWidth="1"/>
    <col min="9224" max="9224" width="9.5703125" style="308" customWidth="1"/>
    <col min="9225" max="9225" width="10.7109375" style="308" customWidth="1"/>
    <col min="9226" max="9226" width="14" style="308" customWidth="1"/>
    <col min="9227" max="9227" width="6.7109375" style="308" customWidth="1"/>
    <col min="9228" max="9228" width="6.5703125" style="308" customWidth="1"/>
    <col min="9229" max="9229" width="3.42578125" style="308" customWidth="1"/>
    <col min="9230" max="9472" width="11.42578125" style="308"/>
    <col min="9473" max="9473" width="4.7109375" style="308" customWidth="1"/>
    <col min="9474" max="9474" width="7.7109375" style="308" customWidth="1"/>
    <col min="9475" max="9475" width="3.28515625" style="308" customWidth="1"/>
    <col min="9476" max="9476" width="11" style="308" customWidth="1"/>
    <col min="9477" max="9477" width="10.7109375" style="308" customWidth="1"/>
    <col min="9478" max="9478" width="15.140625" style="308" customWidth="1"/>
    <col min="9479" max="9479" width="4.42578125" style="308" customWidth="1"/>
    <col min="9480" max="9480" width="9.5703125" style="308" customWidth="1"/>
    <col min="9481" max="9481" width="10.7109375" style="308" customWidth="1"/>
    <col min="9482" max="9482" width="14" style="308" customWidth="1"/>
    <col min="9483" max="9483" width="6.7109375" style="308" customWidth="1"/>
    <col min="9484" max="9484" width="6.5703125" style="308" customWidth="1"/>
    <col min="9485" max="9485" width="3.42578125" style="308" customWidth="1"/>
    <col min="9486" max="9728" width="11.42578125" style="308"/>
    <col min="9729" max="9729" width="4.7109375" style="308" customWidth="1"/>
    <col min="9730" max="9730" width="7.7109375" style="308" customWidth="1"/>
    <col min="9731" max="9731" width="3.28515625" style="308" customWidth="1"/>
    <col min="9732" max="9732" width="11" style="308" customWidth="1"/>
    <col min="9733" max="9733" width="10.7109375" style="308" customWidth="1"/>
    <col min="9734" max="9734" width="15.140625" style="308" customWidth="1"/>
    <col min="9735" max="9735" width="4.42578125" style="308" customWidth="1"/>
    <col min="9736" max="9736" width="9.5703125" style="308" customWidth="1"/>
    <col min="9737" max="9737" width="10.7109375" style="308" customWidth="1"/>
    <col min="9738" max="9738" width="14" style="308" customWidth="1"/>
    <col min="9739" max="9739" width="6.7109375" style="308" customWidth="1"/>
    <col min="9740" max="9740" width="6.5703125" style="308" customWidth="1"/>
    <col min="9741" max="9741" width="3.42578125" style="308" customWidth="1"/>
    <col min="9742" max="9984" width="11.42578125" style="308"/>
    <col min="9985" max="9985" width="4.7109375" style="308" customWidth="1"/>
    <col min="9986" max="9986" width="7.7109375" style="308" customWidth="1"/>
    <col min="9987" max="9987" width="3.28515625" style="308" customWidth="1"/>
    <col min="9988" max="9988" width="11" style="308" customWidth="1"/>
    <col min="9989" max="9989" width="10.7109375" style="308" customWidth="1"/>
    <col min="9990" max="9990" width="15.140625" style="308" customWidth="1"/>
    <col min="9991" max="9991" width="4.42578125" style="308" customWidth="1"/>
    <col min="9992" max="9992" width="9.5703125" style="308" customWidth="1"/>
    <col min="9993" max="9993" width="10.7109375" style="308" customWidth="1"/>
    <col min="9994" max="9994" width="14" style="308" customWidth="1"/>
    <col min="9995" max="9995" width="6.7109375" style="308" customWidth="1"/>
    <col min="9996" max="9996" width="6.5703125" style="308" customWidth="1"/>
    <col min="9997" max="9997" width="3.42578125" style="308" customWidth="1"/>
    <col min="9998" max="10240" width="11.42578125" style="308"/>
    <col min="10241" max="10241" width="4.7109375" style="308" customWidth="1"/>
    <col min="10242" max="10242" width="7.7109375" style="308" customWidth="1"/>
    <col min="10243" max="10243" width="3.28515625" style="308" customWidth="1"/>
    <col min="10244" max="10244" width="11" style="308" customWidth="1"/>
    <col min="10245" max="10245" width="10.7109375" style="308" customWidth="1"/>
    <col min="10246" max="10246" width="15.140625" style="308" customWidth="1"/>
    <col min="10247" max="10247" width="4.42578125" style="308" customWidth="1"/>
    <col min="10248" max="10248" width="9.5703125" style="308" customWidth="1"/>
    <col min="10249" max="10249" width="10.7109375" style="308" customWidth="1"/>
    <col min="10250" max="10250" width="14" style="308" customWidth="1"/>
    <col min="10251" max="10251" width="6.7109375" style="308" customWidth="1"/>
    <col min="10252" max="10252" width="6.5703125" style="308" customWidth="1"/>
    <col min="10253" max="10253" width="3.42578125" style="308" customWidth="1"/>
    <col min="10254" max="10496" width="11.42578125" style="308"/>
    <col min="10497" max="10497" width="4.7109375" style="308" customWidth="1"/>
    <col min="10498" max="10498" width="7.7109375" style="308" customWidth="1"/>
    <col min="10499" max="10499" width="3.28515625" style="308" customWidth="1"/>
    <col min="10500" max="10500" width="11" style="308" customWidth="1"/>
    <col min="10501" max="10501" width="10.7109375" style="308" customWidth="1"/>
    <col min="10502" max="10502" width="15.140625" style="308" customWidth="1"/>
    <col min="10503" max="10503" width="4.42578125" style="308" customWidth="1"/>
    <col min="10504" max="10504" width="9.5703125" style="308" customWidth="1"/>
    <col min="10505" max="10505" width="10.7109375" style="308" customWidth="1"/>
    <col min="10506" max="10506" width="14" style="308" customWidth="1"/>
    <col min="10507" max="10507" width="6.7109375" style="308" customWidth="1"/>
    <col min="10508" max="10508" width="6.5703125" style="308" customWidth="1"/>
    <col min="10509" max="10509" width="3.42578125" style="308" customWidth="1"/>
    <col min="10510" max="10752" width="11.42578125" style="308"/>
    <col min="10753" max="10753" width="4.7109375" style="308" customWidth="1"/>
    <col min="10754" max="10754" width="7.7109375" style="308" customWidth="1"/>
    <col min="10755" max="10755" width="3.28515625" style="308" customWidth="1"/>
    <col min="10756" max="10756" width="11" style="308" customWidth="1"/>
    <col min="10757" max="10757" width="10.7109375" style="308" customWidth="1"/>
    <col min="10758" max="10758" width="15.140625" style="308" customWidth="1"/>
    <col min="10759" max="10759" width="4.42578125" style="308" customWidth="1"/>
    <col min="10760" max="10760" width="9.5703125" style="308" customWidth="1"/>
    <col min="10761" max="10761" width="10.7109375" style="308" customWidth="1"/>
    <col min="10762" max="10762" width="14" style="308" customWidth="1"/>
    <col min="10763" max="10763" width="6.7109375" style="308" customWidth="1"/>
    <col min="10764" max="10764" width="6.5703125" style="308" customWidth="1"/>
    <col min="10765" max="10765" width="3.42578125" style="308" customWidth="1"/>
    <col min="10766" max="11008" width="11.42578125" style="308"/>
    <col min="11009" max="11009" width="4.7109375" style="308" customWidth="1"/>
    <col min="11010" max="11010" width="7.7109375" style="308" customWidth="1"/>
    <col min="11011" max="11011" width="3.28515625" style="308" customWidth="1"/>
    <col min="11012" max="11012" width="11" style="308" customWidth="1"/>
    <col min="11013" max="11013" width="10.7109375" style="308" customWidth="1"/>
    <col min="11014" max="11014" width="15.140625" style="308" customWidth="1"/>
    <col min="11015" max="11015" width="4.42578125" style="308" customWidth="1"/>
    <col min="11016" max="11016" width="9.5703125" style="308" customWidth="1"/>
    <col min="11017" max="11017" width="10.7109375" style="308" customWidth="1"/>
    <col min="11018" max="11018" width="14" style="308" customWidth="1"/>
    <col min="11019" max="11019" width="6.7109375" style="308" customWidth="1"/>
    <col min="11020" max="11020" width="6.5703125" style="308" customWidth="1"/>
    <col min="11021" max="11021" width="3.42578125" style="308" customWidth="1"/>
    <col min="11022" max="11264" width="11.42578125" style="308"/>
    <col min="11265" max="11265" width="4.7109375" style="308" customWidth="1"/>
    <col min="11266" max="11266" width="7.7109375" style="308" customWidth="1"/>
    <col min="11267" max="11267" width="3.28515625" style="308" customWidth="1"/>
    <col min="11268" max="11268" width="11" style="308" customWidth="1"/>
    <col min="11269" max="11269" width="10.7109375" style="308" customWidth="1"/>
    <col min="11270" max="11270" width="15.140625" style="308" customWidth="1"/>
    <col min="11271" max="11271" width="4.42578125" style="308" customWidth="1"/>
    <col min="11272" max="11272" width="9.5703125" style="308" customWidth="1"/>
    <col min="11273" max="11273" width="10.7109375" style="308" customWidth="1"/>
    <col min="11274" max="11274" width="14" style="308" customWidth="1"/>
    <col min="11275" max="11275" width="6.7109375" style="308" customWidth="1"/>
    <col min="11276" max="11276" width="6.5703125" style="308" customWidth="1"/>
    <col min="11277" max="11277" width="3.42578125" style="308" customWidth="1"/>
    <col min="11278" max="11520" width="11.42578125" style="308"/>
    <col min="11521" max="11521" width="4.7109375" style="308" customWidth="1"/>
    <col min="11522" max="11522" width="7.7109375" style="308" customWidth="1"/>
    <col min="11523" max="11523" width="3.28515625" style="308" customWidth="1"/>
    <col min="11524" max="11524" width="11" style="308" customWidth="1"/>
    <col min="11525" max="11525" width="10.7109375" style="308" customWidth="1"/>
    <col min="11526" max="11526" width="15.140625" style="308" customWidth="1"/>
    <col min="11527" max="11527" width="4.42578125" style="308" customWidth="1"/>
    <col min="11528" max="11528" width="9.5703125" style="308" customWidth="1"/>
    <col min="11529" max="11529" width="10.7109375" style="308" customWidth="1"/>
    <col min="11530" max="11530" width="14" style="308" customWidth="1"/>
    <col min="11531" max="11531" width="6.7109375" style="308" customWidth="1"/>
    <col min="11532" max="11532" width="6.5703125" style="308" customWidth="1"/>
    <col min="11533" max="11533" width="3.42578125" style="308" customWidth="1"/>
    <col min="11534" max="11776" width="11.42578125" style="308"/>
    <col min="11777" max="11777" width="4.7109375" style="308" customWidth="1"/>
    <col min="11778" max="11778" width="7.7109375" style="308" customWidth="1"/>
    <col min="11779" max="11779" width="3.28515625" style="308" customWidth="1"/>
    <col min="11780" max="11780" width="11" style="308" customWidth="1"/>
    <col min="11781" max="11781" width="10.7109375" style="308" customWidth="1"/>
    <col min="11782" max="11782" width="15.140625" style="308" customWidth="1"/>
    <col min="11783" max="11783" width="4.42578125" style="308" customWidth="1"/>
    <col min="11784" max="11784" width="9.5703125" style="308" customWidth="1"/>
    <col min="11785" max="11785" width="10.7109375" style="308" customWidth="1"/>
    <col min="11786" max="11786" width="14" style="308" customWidth="1"/>
    <col min="11787" max="11787" width="6.7109375" style="308" customWidth="1"/>
    <col min="11788" max="11788" width="6.5703125" style="308" customWidth="1"/>
    <col min="11789" max="11789" width="3.42578125" style="308" customWidth="1"/>
    <col min="11790" max="12032" width="11.42578125" style="308"/>
    <col min="12033" max="12033" width="4.7109375" style="308" customWidth="1"/>
    <col min="12034" max="12034" width="7.7109375" style="308" customWidth="1"/>
    <col min="12035" max="12035" width="3.28515625" style="308" customWidth="1"/>
    <col min="12036" max="12036" width="11" style="308" customWidth="1"/>
    <col min="12037" max="12037" width="10.7109375" style="308" customWidth="1"/>
    <col min="12038" max="12038" width="15.140625" style="308" customWidth="1"/>
    <col min="12039" max="12039" width="4.42578125" style="308" customWidth="1"/>
    <col min="12040" max="12040" width="9.5703125" style="308" customWidth="1"/>
    <col min="12041" max="12041" width="10.7109375" style="308" customWidth="1"/>
    <col min="12042" max="12042" width="14" style="308" customWidth="1"/>
    <col min="12043" max="12043" width="6.7109375" style="308" customWidth="1"/>
    <col min="12044" max="12044" width="6.5703125" style="308" customWidth="1"/>
    <col min="12045" max="12045" width="3.42578125" style="308" customWidth="1"/>
    <col min="12046" max="12288" width="11.42578125" style="308"/>
    <col min="12289" max="12289" width="4.7109375" style="308" customWidth="1"/>
    <col min="12290" max="12290" width="7.7109375" style="308" customWidth="1"/>
    <col min="12291" max="12291" width="3.28515625" style="308" customWidth="1"/>
    <col min="12292" max="12292" width="11" style="308" customWidth="1"/>
    <col min="12293" max="12293" width="10.7109375" style="308" customWidth="1"/>
    <col min="12294" max="12294" width="15.140625" style="308" customWidth="1"/>
    <col min="12295" max="12295" width="4.42578125" style="308" customWidth="1"/>
    <col min="12296" max="12296" width="9.5703125" style="308" customWidth="1"/>
    <col min="12297" max="12297" width="10.7109375" style="308" customWidth="1"/>
    <col min="12298" max="12298" width="14" style="308" customWidth="1"/>
    <col min="12299" max="12299" width="6.7109375" style="308" customWidth="1"/>
    <col min="12300" max="12300" width="6.5703125" style="308" customWidth="1"/>
    <col min="12301" max="12301" width="3.42578125" style="308" customWidth="1"/>
    <col min="12302" max="12544" width="11.42578125" style="308"/>
    <col min="12545" max="12545" width="4.7109375" style="308" customWidth="1"/>
    <col min="12546" max="12546" width="7.7109375" style="308" customWidth="1"/>
    <col min="12547" max="12547" width="3.28515625" style="308" customWidth="1"/>
    <col min="12548" max="12548" width="11" style="308" customWidth="1"/>
    <col min="12549" max="12549" width="10.7109375" style="308" customWidth="1"/>
    <col min="12550" max="12550" width="15.140625" style="308" customWidth="1"/>
    <col min="12551" max="12551" width="4.42578125" style="308" customWidth="1"/>
    <col min="12552" max="12552" width="9.5703125" style="308" customWidth="1"/>
    <col min="12553" max="12553" width="10.7109375" style="308" customWidth="1"/>
    <col min="12554" max="12554" width="14" style="308" customWidth="1"/>
    <col min="12555" max="12555" width="6.7109375" style="308" customWidth="1"/>
    <col min="12556" max="12556" width="6.5703125" style="308" customWidth="1"/>
    <col min="12557" max="12557" width="3.42578125" style="308" customWidth="1"/>
    <col min="12558" max="12800" width="11.42578125" style="308"/>
    <col min="12801" max="12801" width="4.7109375" style="308" customWidth="1"/>
    <col min="12802" max="12802" width="7.7109375" style="308" customWidth="1"/>
    <col min="12803" max="12803" width="3.28515625" style="308" customWidth="1"/>
    <col min="12804" max="12804" width="11" style="308" customWidth="1"/>
    <col min="12805" max="12805" width="10.7109375" style="308" customWidth="1"/>
    <col min="12806" max="12806" width="15.140625" style="308" customWidth="1"/>
    <col min="12807" max="12807" width="4.42578125" style="308" customWidth="1"/>
    <col min="12808" max="12808" width="9.5703125" style="308" customWidth="1"/>
    <col min="12809" max="12809" width="10.7109375" style="308" customWidth="1"/>
    <col min="12810" max="12810" width="14" style="308" customWidth="1"/>
    <col min="12811" max="12811" width="6.7109375" style="308" customWidth="1"/>
    <col min="12812" max="12812" width="6.5703125" style="308" customWidth="1"/>
    <col min="12813" max="12813" width="3.42578125" style="308" customWidth="1"/>
    <col min="12814" max="13056" width="11.42578125" style="308"/>
    <col min="13057" max="13057" width="4.7109375" style="308" customWidth="1"/>
    <col min="13058" max="13058" width="7.7109375" style="308" customWidth="1"/>
    <col min="13059" max="13059" width="3.28515625" style="308" customWidth="1"/>
    <col min="13060" max="13060" width="11" style="308" customWidth="1"/>
    <col min="13061" max="13061" width="10.7109375" style="308" customWidth="1"/>
    <col min="13062" max="13062" width="15.140625" style="308" customWidth="1"/>
    <col min="13063" max="13063" width="4.42578125" style="308" customWidth="1"/>
    <col min="13064" max="13064" width="9.5703125" style="308" customWidth="1"/>
    <col min="13065" max="13065" width="10.7109375" style="308" customWidth="1"/>
    <col min="13066" max="13066" width="14" style="308" customWidth="1"/>
    <col min="13067" max="13067" width="6.7109375" style="308" customWidth="1"/>
    <col min="13068" max="13068" width="6.5703125" style="308" customWidth="1"/>
    <col min="13069" max="13069" width="3.42578125" style="308" customWidth="1"/>
    <col min="13070" max="13312" width="11.42578125" style="308"/>
    <col min="13313" max="13313" width="4.7109375" style="308" customWidth="1"/>
    <col min="13314" max="13314" width="7.7109375" style="308" customWidth="1"/>
    <col min="13315" max="13315" width="3.28515625" style="308" customWidth="1"/>
    <col min="13316" max="13316" width="11" style="308" customWidth="1"/>
    <col min="13317" max="13317" width="10.7109375" style="308" customWidth="1"/>
    <col min="13318" max="13318" width="15.140625" style="308" customWidth="1"/>
    <col min="13319" max="13319" width="4.42578125" style="308" customWidth="1"/>
    <col min="13320" max="13320" width="9.5703125" style="308" customWidth="1"/>
    <col min="13321" max="13321" width="10.7109375" style="308" customWidth="1"/>
    <col min="13322" max="13322" width="14" style="308" customWidth="1"/>
    <col min="13323" max="13323" width="6.7109375" style="308" customWidth="1"/>
    <col min="13324" max="13324" width="6.5703125" style="308" customWidth="1"/>
    <col min="13325" max="13325" width="3.42578125" style="308" customWidth="1"/>
    <col min="13326" max="13568" width="11.42578125" style="308"/>
    <col min="13569" max="13569" width="4.7109375" style="308" customWidth="1"/>
    <col min="13570" max="13570" width="7.7109375" style="308" customWidth="1"/>
    <col min="13571" max="13571" width="3.28515625" style="308" customWidth="1"/>
    <col min="13572" max="13572" width="11" style="308" customWidth="1"/>
    <col min="13573" max="13573" width="10.7109375" style="308" customWidth="1"/>
    <col min="13574" max="13574" width="15.140625" style="308" customWidth="1"/>
    <col min="13575" max="13575" width="4.42578125" style="308" customWidth="1"/>
    <col min="13576" max="13576" width="9.5703125" style="308" customWidth="1"/>
    <col min="13577" max="13577" width="10.7109375" style="308" customWidth="1"/>
    <col min="13578" max="13578" width="14" style="308" customWidth="1"/>
    <col min="13579" max="13579" width="6.7109375" style="308" customWidth="1"/>
    <col min="13580" max="13580" width="6.5703125" style="308" customWidth="1"/>
    <col min="13581" max="13581" width="3.42578125" style="308" customWidth="1"/>
    <col min="13582" max="13824" width="11.42578125" style="308"/>
    <col min="13825" max="13825" width="4.7109375" style="308" customWidth="1"/>
    <col min="13826" max="13826" width="7.7109375" style="308" customWidth="1"/>
    <col min="13827" max="13827" width="3.28515625" style="308" customWidth="1"/>
    <col min="13828" max="13828" width="11" style="308" customWidth="1"/>
    <col min="13829" max="13829" width="10.7109375" style="308" customWidth="1"/>
    <col min="13830" max="13830" width="15.140625" style="308" customWidth="1"/>
    <col min="13831" max="13831" width="4.42578125" style="308" customWidth="1"/>
    <col min="13832" max="13832" width="9.5703125" style="308" customWidth="1"/>
    <col min="13833" max="13833" width="10.7109375" style="308" customWidth="1"/>
    <col min="13834" max="13834" width="14" style="308" customWidth="1"/>
    <col min="13835" max="13835" width="6.7109375" style="308" customWidth="1"/>
    <col min="13836" max="13836" width="6.5703125" style="308" customWidth="1"/>
    <col min="13837" max="13837" width="3.42578125" style="308" customWidth="1"/>
    <col min="13838" max="14080" width="11.42578125" style="308"/>
    <col min="14081" max="14081" width="4.7109375" style="308" customWidth="1"/>
    <col min="14082" max="14082" width="7.7109375" style="308" customWidth="1"/>
    <col min="14083" max="14083" width="3.28515625" style="308" customWidth="1"/>
    <col min="14084" max="14084" width="11" style="308" customWidth="1"/>
    <col min="14085" max="14085" width="10.7109375" style="308" customWidth="1"/>
    <col min="14086" max="14086" width="15.140625" style="308" customWidth="1"/>
    <col min="14087" max="14087" width="4.42578125" style="308" customWidth="1"/>
    <col min="14088" max="14088" width="9.5703125" style="308" customWidth="1"/>
    <col min="14089" max="14089" width="10.7109375" style="308" customWidth="1"/>
    <col min="14090" max="14090" width="14" style="308" customWidth="1"/>
    <col min="14091" max="14091" width="6.7109375" style="308" customWidth="1"/>
    <col min="14092" max="14092" width="6.5703125" style="308" customWidth="1"/>
    <col min="14093" max="14093" width="3.42578125" style="308" customWidth="1"/>
    <col min="14094" max="14336" width="11.42578125" style="308"/>
    <col min="14337" max="14337" width="4.7109375" style="308" customWidth="1"/>
    <col min="14338" max="14338" width="7.7109375" style="308" customWidth="1"/>
    <col min="14339" max="14339" width="3.28515625" style="308" customWidth="1"/>
    <col min="14340" max="14340" width="11" style="308" customWidth="1"/>
    <col min="14341" max="14341" width="10.7109375" style="308" customWidth="1"/>
    <col min="14342" max="14342" width="15.140625" style="308" customWidth="1"/>
    <col min="14343" max="14343" width="4.42578125" style="308" customWidth="1"/>
    <col min="14344" max="14344" width="9.5703125" style="308" customWidth="1"/>
    <col min="14345" max="14345" width="10.7109375" style="308" customWidth="1"/>
    <col min="14346" max="14346" width="14" style="308" customWidth="1"/>
    <col min="14347" max="14347" width="6.7109375" style="308" customWidth="1"/>
    <col min="14348" max="14348" width="6.5703125" style="308" customWidth="1"/>
    <col min="14349" max="14349" width="3.42578125" style="308" customWidth="1"/>
    <col min="14350" max="14592" width="11.42578125" style="308"/>
    <col min="14593" max="14593" width="4.7109375" style="308" customWidth="1"/>
    <col min="14594" max="14594" width="7.7109375" style="308" customWidth="1"/>
    <col min="14595" max="14595" width="3.28515625" style="308" customWidth="1"/>
    <col min="14596" max="14596" width="11" style="308" customWidth="1"/>
    <col min="14597" max="14597" width="10.7109375" style="308" customWidth="1"/>
    <col min="14598" max="14598" width="15.140625" style="308" customWidth="1"/>
    <col min="14599" max="14599" width="4.42578125" style="308" customWidth="1"/>
    <col min="14600" max="14600" width="9.5703125" style="308" customWidth="1"/>
    <col min="14601" max="14601" width="10.7109375" style="308" customWidth="1"/>
    <col min="14602" max="14602" width="14" style="308" customWidth="1"/>
    <col min="14603" max="14603" width="6.7109375" style="308" customWidth="1"/>
    <col min="14604" max="14604" width="6.5703125" style="308" customWidth="1"/>
    <col min="14605" max="14605" width="3.42578125" style="308" customWidth="1"/>
    <col min="14606" max="14848" width="11.42578125" style="308"/>
    <col min="14849" max="14849" width="4.7109375" style="308" customWidth="1"/>
    <col min="14850" max="14850" width="7.7109375" style="308" customWidth="1"/>
    <col min="14851" max="14851" width="3.28515625" style="308" customWidth="1"/>
    <col min="14852" max="14852" width="11" style="308" customWidth="1"/>
    <col min="14853" max="14853" width="10.7109375" style="308" customWidth="1"/>
    <col min="14854" max="14854" width="15.140625" style="308" customWidth="1"/>
    <col min="14855" max="14855" width="4.42578125" style="308" customWidth="1"/>
    <col min="14856" max="14856" width="9.5703125" style="308" customWidth="1"/>
    <col min="14857" max="14857" width="10.7109375" style="308" customWidth="1"/>
    <col min="14858" max="14858" width="14" style="308" customWidth="1"/>
    <col min="14859" max="14859" width="6.7109375" style="308" customWidth="1"/>
    <col min="14860" max="14860" width="6.5703125" style="308" customWidth="1"/>
    <col min="14861" max="14861" width="3.42578125" style="308" customWidth="1"/>
    <col min="14862" max="15104" width="11.42578125" style="308"/>
    <col min="15105" max="15105" width="4.7109375" style="308" customWidth="1"/>
    <col min="15106" max="15106" width="7.7109375" style="308" customWidth="1"/>
    <col min="15107" max="15107" width="3.28515625" style="308" customWidth="1"/>
    <col min="15108" max="15108" width="11" style="308" customWidth="1"/>
    <col min="15109" max="15109" width="10.7109375" style="308" customWidth="1"/>
    <col min="15110" max="15110" width="15.140625" style="308" customWidth="1"/>
    <col min="15111" max="15111" width="4.42578125" style="308" customWidth="1"/>
    <col min="15112" max="15112" width="9.5703125" style="308" customWidth="1"/>
    <col min="15113" max="15113" width="10.7109375" style="308" customWidth="1"/>
    <col min="15114" max="15114" width="14" style="308" customWidth="1"/>
    <col min="15115" max="15115" width="6.7109375" style="308" customWidth="1"/>
    <col min="15116" max="15116" width="6.5703125" style="308" customWidth="1"/>
    <col min="15117" max="15117" width="3.42578125" style="308" customWidth="1"/>
    <col min="15118" max="15360" width="11.42578125" style="308"/>
    <col min="15361" max="15361" width="4.7109375" style="308" customWidth="1"/>
    <col min="15362" max="15362" width="7.7109375" style="308" customWidth="1"/>
    <col min="15363" max="15363" width="3.28515625" style="308" customWidth="1"/>
    <col min="15364" max="15364" width="11" style="308" customWidth="1"/>
    <col min="15365" max="15365" width="10.7109375" style="308" customWidth="1"/>
    <col min="15366" max="15366" width="15.140625" style="308" customWidth="1"/>
    <col min="15367" max="15367" width="4.42578125" style="308" customWidth="1"/>
    <col min="15368" max="15368" width="9.5703125" style="308" customWidth="1"/>
    <col min="15369" max="15369" width="10.7109375" style="308" customWidth="1"/>
    <col min="15370" max="15370" width="14" style="308" customWidth="1"/>
    <col min="15371" max="15371" width="6.7109375" style="308" customWidth="1"/>
    <col min="15372" max="15372" width="6.5703125" style="308" customWidth="1"/>
    <col min="15373" max="15373" width="3.42578125" style="308" customWidth="1"/>
    <col min="15374" max="15616" width="11.42578125" style="308"/>
    <col min="15617" max="15617" width="4.7109375" style="308" customWidth="1"/>
    <col min="15618" max="15618" width="7.7109375" style="308" customWidth="1"/>
    <col min="15619" max="15619" width="3.28515625" style="308" customWidth="1"/>
    <col min="15620" max="15620" width="11" style="308" customWidth="1"/>
    <col min="15621" max="15621" width="10.7109375" style="308" customWidth="1"/>
    <col min="15622" max="15622" width="15.140625" style="308" customWidth="1"/>
    <col min="15623" max="15623" width="4.42578125" style="308" customWidth="1"/>
    <col min="15624" max="15624" width="9.5703125" style="308" customWidth="1"/>
    <col min="15625" max="15625" width="10.7109375" style="308" customWidth="1"/>
    <col min="15626" max="15626" width="14" style="308" customWidth="1"/>
    <col min="15627" max="15627" width="6.7109375" style="308" customWidth="1"/>
    <col min="15628" max="15628" width="6.5703125" style="308" customWidth="1"/>
    <col min="15629" max="15629" width="3.42578125" style="308" customWidth="1"/>
    <col min="15630" max="15872" width="11.42578125" style="308"/>
    <col min="15873" max="15873" width="4.7109375" style="308" customWidth="1"/>
    <col min="15874" max="15874" width="7.7109375" style="308" customWidth="1"/>
    <col min="15875" max="15875" width="3.28515625" style="308" customWidth="1"/>
    <col min="15876" max="15876" width="11" style="308" customWidth="1"/>
    <col min="15877" max="15877" width="10.7109375" style="308" customWidth="1"/>
    <col min="15878" max="15878" width="15.140625" style="308" customWidth="1"/>
    <col min="15879" max="15879" width="4.42578125" style="308" customWidth="1"/>
    <col min="15880" max="15880" width="9.5703125" style="308" customWidth="1"/>
    <col min="15881" max="15881" width="10.7109375" style="308" customWidth="1"/>
    <col min="15882" max="15882" width="14" style="308" customWidth="1"/>
    <col min="15883" max="15883" width="6.7109375" style="308" customWidth="1"/>
    <col min="15884" max="15884" width="6.5703125" style="308" customWidth="1"/>
    <col min="15885" max="15885" width="3.42578125" style="308" customWidth="1"/>
    <col min="15886" max="16128" width="11.42578125" style="308"/>
    <col min="16129" max="16129" width="4.7109375" style="308" customWidth="1"/>
    <col min="16130" max="16130" width="7.7109375" style="308" customWidth="1"/>
    <col min="16131" max="16131" width="3.28515625" style="308" customWidth="1"/>
    <col min="16132" max="16132" width="11" style="308" customWidth="1"/>
    <col min="16133" max="16133" width="10.7109375" style="308" customWidth="1"/>
    <col min="16134" max="16134" width="15.140625" style="308" customWidth="1"/>
    <col min="16135" max="16135" width="4.42578125" style="308" customWidth="1"/>
    <col min="16136" max="16136" width="9.5703125" style="308" customWidth="1"/>
    <col min="16137" max="16137" width="10.7109375" style="308" customWidth="1"/>
    <col min="16138" max="16138" width="14" style="308" customWidth="1"/>
    <col min="16139" max="16139" width="6.7109375" style="308" customWidth="1"/>
    <col min="16140" max="16140" width="6.5703125" style="308" customWidth="1"/>
    <col min="16141" max="16141" width="3.42578125" style="308" customWidth="1"/>
    <col min="16142" max="16384" width="11.42578125" style="308"/>
  </cols>
  <sheetData>
    <row r="1" spans="2:12" hidden="1">
      <c r="B1" s="301" t="s">
        <v>508</v>
      </c>
      <c r="C1" s="302"/>
      <c r="D1" s="302"/>
      <c r="E1" s="303"/>
      <c r="F1" s="303"/>
      <c r="G1" s="304"/>
      <c r="H1" s="305"/>
      <c r="I1" s="306"/>
      <c r="J1" s="306"/>
      <c r="K1" s="307"/>
      <c r="L1" s="305"/>
    </row>
    <row r="2" spans="2:12" hidden="1">
      <c r="B2" s="301" t="s">
        <v>509</v>
      </c>
      <c r="C2" s="302"/>
      <c r="D2" s="302"/>
      <c r="E2" s="303"/>
      <c r="F2" s="303"/>
      <c r="G2" s="304"/>
      <c r="H2" s="305"/>
      <c r="I2" s="306"/>
      <c r="J2" s="306"/>
      <c r="K2" s="307"/>
      <c r="L2" s="305"/>
    </row>
    <row r="3" spans="2:12" hidden="1">
      <c r="B3" s="309" t="s">
        <v>510</v>
      </c>
      <c r="C3" s="310"/>
      <c r="D3" s="310"/>
      <c r="E3" s="311"/>
      <c r="F3" s="311"/>
      <c r="G3" s="310"/>
      <c r="H3" s="312"/>
      <c r="I3" s="313"/>
      <c r="J3" s="313"/>
      <c r="K3" s="314"/>
      <c r="L3" s="312"/>
    </row>
    <row r="4" spans="2:12" hidden="1">
      <c r="B4" s="305" t="s">
        <v>511</v>
      </c>
      <c r="C4" s="302"/>
      <c r="D4" s="305"/>
      <c r="E4" s="303"/>
      <c r="F4" s="303"/>
      <c r="G4" s="304"/>
      <c r="H4" s="305"/>
      <c r="I4" s="306"/>
      <c r="J4" s="306"/>
      <c r="K4" s="307"/>
      <c r="L4" s="305"/>
    </row>
    <row r="5" spans="2:12" ht="12.75"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</row>
    <row r="6" spans="2:12" ht="12.75">
      <c r="B6" s="315"/>
      <c r="C6" s="315"/>
      <c r="D6" s="315"/>
      <c r="E6" s="315"/>
      <c r="F6" s="315"/>
      <c r="G6" s="315"/>
      <c r="H6" s="316" t="s">
        <v>512</v>
      </c>
      <c r="I6" s="315"/>
      <c r="J6" s="316" t="s">
        <v>513</v>
      </c>
      <c r="K6" s="317"/>
      <c r="L6" s="315"/>
    </row>
    <row r="7" spans="2:12" ht="12.75">
      <c r="B7" s="315"/>
      <c r="C7" s="315"/>
      <c r="D7" s="315"/>
      <c r="E7" s="315"/>
      <c r="F7" s="315"/>
      <c r="G7" s="315"/>
      <c r="H7" s="318"/>
      <c r="I7" s="315"/>
      <c r="J7" s="319"/>
      <c r="K7" s="320"/>
      <c r="L7" s="315"/>
    </row>
    <row r="8" spans="2:12" ht="6.75" customHeight="1" thickBot="1"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315"/>
    </row>
    <row r="9" spans="2:12" ht="3.75" customHeight="1">
      <c r="B9" s="321"/>
      <c r="C9" s="322"/>
      <c r="D9" s="323"/>
      <c r="E9" s="324"/>
      <c r="F9" s="324"/>
      <c r="G9" s="325"/>
      <c r="H9" s="326"/>
      <c r="I9" s="327"/>
      <c r="J9" s="327"/>
      <c r="K9" s="328"/>
      <c r="L9" s="329"/>
    </row>
    <row r="10" spans="2:12" s="337" customFormat="1" ht="12.75" customHeight="1">
      <c r="B10" s="330" t="s">
        <v>514</v>
      </c>
      <c r="C10" s="331"/>
      <c r="D10" s="332"/>
      <c r="E10" s="333"/>
      <c r="F10" s="333"/>
      <c r="G10" s="315"/>
      <c r="H10" s="334"/>
      <c r="I10" s="335"/>
      <c r="J10" s="315"/>
      <c r="K10" s="315"/>
      <c r="L10" s="336"/>
    </row>
    <row r="11" spans="2:12" s="337" customFormat="1" ht="3.75" customHeight="1">
      <c r="B11" s="330"/>
      <c r="C11" s="331"/>
      <c r="D11" s="332"/>
      <c r="E11" s="333"/>
      <c r="F11" s="333"/>
      <c r="G11" s="315"/>
      <c r="H11" s="334"/>
      <c r="I11" s="338"/>
      <c r="J11" s="315"/>
      <c r="K11" s="315"/>
      <c r="L11" s="336"/>
    </row>
    <row r="12" spans="2:12" s="337" customFormat="1" ht="12.75" customHeight="1">
      <c r="B12" s="330"/>
      <c r="C12" s="331"/>
      <c r="D12" s="332"/>
      <c r="E12" s="333"/>
      <c r="F12" s="333"/>
      <c r="G12" s="315"/>
      <c r="I12" s="339" t="s">
        <v>515</v>
      </c>
      <c r="J12" s="340" t="s">
        <v>516</v>
      </c>
      <c r="K12" s="315"/>
      <c r="L12" s="336"/>
    </row>
    <row r="13" spans="2:12" s="337" customFormat="1" ht="2.25" customHeight="1">
      <c r="B13" s="330"/>
      <c r="C13" s="331"/>
      <c r="D13" s="332"/>
      <c r="E13" s="333"/>
      <c r="F13" s="333"/>
      <c r="G13" s="315"/>
      <c r="H13" s="334"/>
      <c r="I13" s="338"/>
      <c r="J13" s="315"/>
      <c r="K13" s="315"/>
      <c r="L13" s="336"/>
    </row>
    <row r="14" spans="2:12" ht="12.75" customHeight="1">
      <c r="B14" s="341" t="s">
        <v>517</v>
      </c>
      <c r="C14" s="331"/>
      <c r="D14" s="332"/>
      <c r="E14" s="333"/>
      <c r="F14" s="333"/>
      <c r="G14" s="315"/>
      <c r="I14" s="339" t="s">
        <v>518</v>
      </c>
      <c r="J14" s="318"/>
      <c r="K14" s="315"/>
      <c r="L14" s="336"/>
    </row>
    <row r="15" spans="2:12" ht="12.75" customHeight="1">
      <c r="B15" s="342" t="s">
        <v>519</v>
      </c>
      <c r="C15" s="343"/>
      <c r="D15" s="340"/>
      <c r="E15" s="308"/>
      <c r="F15" s="333"/>
      <c r="G15" s="315"/>
      <c r="I15" s="339" t="s">
        <v>520</v>
      </c>
      <c r="J15" s="318"/>
      <c r="K15" s="315"/>
      <c r="L15" s="336"/>
    </row>
    <row r="16" spans="2:12" ht="12.75" customHeight="1">
      <c r="B16" s="342" t="s">
        <v>521</v>
      </c>
      <c r="C16" s="343"/>
      <c r="D16" s="344"/>
      <c r="E16" s="344"/>
      <c r="F16" s="333"/>
      <c r="G16" s="315"/>
      <c r="I16" s="339" t="s">
        <v>522</v>
      </c>
      <c r="J16" s="318"/>
      <c r="K16" s="315"/>
      <c r="L16" s="336"/>
    </row>
    <row r="17" spans="2:13" ht="3" customHeight="1">
      <c r="B17" s="345"/>
      <c r="C17" s="343"/>
      <c r="D17" s="344"/>
      <c r="E17" s="344"/>
      <c r="F17" s="333"/>
      <c r="G17" s="315"/>
      <c r="H17" s="346"/>
      <c r="I17" s="315"/>
      <c r="J17" s="318"/>
      <c r="K17" s="315"/>
      <c r="L17" s="336"/>
    </row>
    <row r="18" spans="2:13" ht="12.75" customHeight="1">
      <c r="B18" s="347" t="s">
        <v>523</v>
      </c>
      <c r="C18" s="343"/>
      <c r="D18" s="344"/>
      <c r="E18" s="308"/>
      <c r="F18" s="333"/>
      <c r="G18" s="348"/>
      <c r="H18" s="339" t="s">
        <v>524</v>
      </c>
      <c r="I18" s="315"/>
      <c r="J18" s="349"/>
      <c r="K18" s="315"/>
      <c r="L18" s="336"/>
    </row>
    <row r="19" spans="2:13" ht="2.25" customHeight="1" thickBot="1">
      <c r="B19" s="350"/>
      <c r="C19" s="351"/>
      <c r="D19" s="351"/>
      <c r="E19" s="351"/>
      <c r="F19" s="351"/>
      <c r="G19" s="351"/>
      <c r="H19" s="351"/>
      <c r="I19" s="351"/>
      <c r="J19" s="351"/>
      <c r="K19" s="351"/>
      <c r="L19" s="352"/>
    </row>
    <row r="20" spans="2:13" ht="11.1" customHeight="1">
      <c r="B20" s="353"/>
      <c r="C20" s="354"/>
      <c r="D20" s="354"/>
      <c r="E20" s="355" t="s">
        <v>525</v>
      </c>
      <c r="F20" s="356"/>
      <c r="G20" s="357" t="s">
        <v>526</v>
      </c>
      <c r="H20" s="357" t="s">
        <v>527</v>
      </c>
      <c r="I20" s="358" t="s">
        <v>528</v>
      </c>
      <c r="J20" s="358" t="s">
        <v>529</v>
      </c>
      <c r="K20" s="359" t="s">
        <v>530</v>
      </c>
      <c r="L20" s="360" t="s">
        <v>531</v>
      </c>
    </row>
    <row r="21" spans="2:13" ht="2.25" customHeight="1">
      <c r="B21" s="361"/>
      <c r="C21" s="362"/>
      <c r="D21" s="362"/>
      <c r="E21" s="363"/>
      <c r="F21" s="364"/>
      <c r="G21" s="365"/>
      <c r="H21" s="366"/>
      <c r="I21" s="367"/>
      <c r="J21" s="367"/>
      <c r="K21" s="368"/>
      <c r="L21" s="369"/>
    </row>
    <row r="22" spans="2:13" ht="11.1" customHeight="1">
      <c r="B22" s="370" t="s">
        <v>532</v>
      </c>
      <c r="C22" s="371" t="s">
        <v>533</v>
      </c>
      <c r="D22" s="372" t="s">
        <v>534</v>
      </c>
      <c r="E22" s="373"/>
      <c r="F22" s="356"/>
      <c r="G22" s="374"/>
      <c r="H22" s="375"/>
      <c r="I22" s="376"/>
      <c r="J22" s="377"/>
      <c r="K22" s="378"/>
      <c r="L22" s="379"/>
    </row>
    <row r="23" spans="2:13" ht="11.1" customHeight="1">
      <c r="B23" s="380" t="s">
        <v>535</v>
      </c>
      <c r="C23" s="381"/>
      <c r="D23" s="382" t="s">
        <v>536</v>
      </c>
      <c r="E23" s="363"/>
      <c r="F23" s="364"/>
      <c r="G23" s="383"/>
      <c r="H23" s="375"/>
      <c r="I23" s="376"/>
      <c r="J23" s="384"/>
      <c r="K23" s="368">
        <f>IF(J$34=0,0,100*J23/J$34)</f>
        <v>0</v>
      </c>
      <c r="L23" s="379"/>
    </row>
    <row r="24" spans="2:13" ht="11.1" customHeight="1">
      <c r="B24" s="380" t="s">
        <v>537</v>
      </c>
      <c r="C24" s="371" t="s">
        <v>538</v>
      </c>
      <c r="D24" s="372" t="s">
        <v>539</v>
      </c>
      <c r="E24" s="373"/>
      <c r="F24" s="356"/>
      <c r="G24" s="374"/>
      <c r="H24" s="375"/>
      <c r="I24" s="376"/>
      <c r="J24" s="385"/>
      <c r="K24" s="368">
        <f>IF(J$34=0,0,100*J24/J$34)</f>
        <v>0</v>
      </c>
      <c r="L24" s="379"/>
    </row>
    <row r="25" spans="2:13" ht="11.1" customHeight="1">
      <c r="B25" s="380" t="s">
        <v>540</v>
      </c>
      <c r="C25" s="371" t="s">
        <v>541</v>
      </c>
      <c r="D25" s="372" t="s">
        <v>542</v>
      </c>
      <c r="E25" s="373"/>
      <c r="F25" s="356"/>
      <c r="G25" s="374"/>
      <c r="H25" s="375"/>
      <c r="I25" s="376"/>
      <c r="J25" s="377"/>
      <c r="K25" s="378"/>
      <c r="L25" s="379"/>
    </row>
    <row r="26" spans="2:13" ht="11.1" customHeight="1">
      <c r="B26" s="380" t="s">
        <v>543</v>
      </c>
      <c r="C26" s="381"/>
      <c r="D26" s="386" t="s">
        <v>544</v>
      </c>
      <c r="E26" s="363"/>
      <c r="F26" s="364"/>
      <c r="G26" s="383"/>
      <c r="H26" s="375"/>
      <c r="I26" s="376"/>
      <c r="J26" s="387"/>
      <c r="K26" s="368">
        <f>IF(J$34=0,0,100*J26/J$34)</f>
        <v>0</v>
      </c>
      <c r="L26" s="379"/>
      <c r="M26" s="388"/>
    </row>
    <row r="27" spans="2:13" ht="11.1" customHeight="1">
      <c r="B27" s="380" t="s">
        <v>545</v>
      </c>
      <c r="C27" s="371" t="s">
        <v>546</v>
      </c>
      <c r="D27" s="372" t="s">
        <v>547</v>
      </c>
      <c r="E27" s="373"/>
      <c r="F27" s="356"/>
      <c r="G27" s="389"/>
      <c r="H27" s="375"/>
      <c r="I27" s="376"/>
      <c r="J27" s="377"/>
      <c r="K27" s="378"/>
      <c r="L27" s="379"/>
      <c r="M27" s="388"/>
    </row>
    <row r="28" spans="2:13" ht="11.1" customHeight="1">
      <c r="B28" s="380" t="s">
        <v>548</v>
      </c>
      <c r="C28" s="381"/>
      <c r="D28" s="386" t="s">
        <v>549</v>
      </c>
      <c r="E28" s="363"/>
      <c r="F28" s="364"/>
      <c r="G28" s="383"/>
      <c r="H28" s="375"/>
      <c r="I28" s="376"/>
      <c r="J28" s="384"/>
      <c r="K28" s="368">
        <f>IF(J$34=0,0,100*J28/J$34)</f>
        <v>0</v>
      </c>
      <c r="L28" s="379"/>
      <c r="M28" s="388"/>
    </row>
    <row r="29" spans="2:13" ht="11.1" customHeight="1">
      <c r="B29" s="380" t="s">
        <v>550</v>
      </c>
      <c r="C29" s="381" t="s">
        <v>551</v>
      </c>
      <c r="D29" s="386" t="s">
        <v>552</v>
      </c>
      <c r="E29" s="363"/>
      <c r="F29" s="364"/>
      <c r="G29" s="383"/>
      <c r="H29" s="375"/>
      <c r="I29" s="376"/>
      <c r="J29" s="385"/>
      <c r="K29" s="368">
        <f>IF(J$34=0,0,100*J29/J$34)</f>
        <v>0</v>
      </c>
      <c r="L29" s="379"/>
      <c r="M29" s="388"/>
    </row>
    <row r="30" spans="2:13" ht="11.1" customHeight="1">
      <c r="B30" s="380" t="s">
        <v>553</v>
      </c>
      <c r="C30" s="390" t="s">
        <v>554</v>
      </c>
      <c r="D30" s="391" t="s">
        <v>555</v>
      </c>
      <c r="E30" s="392"/>
      <c r="F30" s="393"/>
      <c r="G30" s="389"/>
      <c r="H30" s="375"/>
      <c r="I30" s="376"/>
      <c r="J30" s="385"/>
      <c r="K30" s="368">
        <f>IF(J$34=0,0,100*J30/J$34)</f>
        <v>0</v>
      </c>
      <c r="L30" s="379"/>
      <c r="M30" s="388"/>
    </row>
    <row r="31" spans="2:13" ht="11.1" customHeight="1">
      <c r="B31" s="394"/>
      <c r="C31" s="371" t="s">
        <v>556</v>
      </c>
      <c r="D31" s="372" t="s">
        <v>557</v>
      </c>
      <c r="E31" s="373"/>
      <c r="F31" s="356"/>
      <c r="G31" s="395"/>
      <c r="H31" s="375"/>
      <c r="I31" s="376"/>
      <c r="J31" s="385"/>
      <c r="K31" s="368">
        <f>IF(J$34=0,0,100*J31/J$34)</f>
        <v>0</v>
      </c>
      <c r="L31" s="379"/>
      <c r="M31" s="388"/>
    </row>
    <row r="32" spans="2:13" ht="11.1" customHeight="1">
      <c r="B32" s="394"/>
      <c r="C32" s="396" t="s">
        <v>558</v>
      </c>
      <c r="D32" s="372"/>
      <c r="E32" s="373"/>
      <c r="F32" s="356"/>
      <c r="G32" s="395"/>
      <c r="H32" s="397"/>
      <c r="I32" s="398"/>
      <c r="J32" s="385"/>
      <c r="K32" s="368">
        <f>IF(J$34=0,0,100*J32/J$34)</f>
        <v>0</v>
      </c>
      <c r="L32" s="379"/>
    </row>
    <row r="33" spans="2:13" ht="11.1" customHeight="1">
      <c r="B33" s="394"/>
      <c r="C33" s="371" t="s">
        <v>559</v>
      </c>
      <c r="D33" s="354"/>
      <c r="E33" s="373"/>
      <c r="F33" s="356"/>
      <c r="G33" s="399"/>
      <c r="H33" s="400"/>
      <c r="I33" s="401"/>
      <c r="J33" s="377"/>
      <c r="K33" s="378"/>
      <c r="L33" s="402"/>
      <c r="M33" s="388"/>
    </row>
    <row r="34" spans="2:13" ht="11.1" customHeight="1">
      <c r="B34" s="365"/>
      <c r="C34" s="381"/>
      <c r="D34" s="362"/>
      <c r="E34" s="363"/>
      <c r="F34" s="364"/>
      <c r="G34" s="399"/>
      <c r="H34" s="400"/>
      <c r="I34" s="401"/>
      <c r="J34" s="403">
        <f>ROUND(J23+J24+J26+J28+J29+J30+J31+J32,2)</f>
        <v>0</v>
      </c>
      <c r="K34" s="404" t="s">
        <v>560</v>
      </c>
      <c r="L34" s="369">
        <f>IF(J$334=0,0,100*J34/J$334)</f>
        <v>0</v>
      </c>
    </row>
    <row r="35" spans="2:13" ht="11.1" customHeight="1">
      <c r="B35" s="405" t="s">
        <v>561</v>
      </c>
      <c r="C35" s="371"/>
      <c r="D35" s="406"/>
      <c r="E35" s="407" t="s">
        <v>562</v>
      </c>
      <c r="F35" s="408"/>
      <c r="G35" s="395" t="s">
        <v>563</v>
      </c>
      <c r="H35" s="409"/>
      <c r="I35" s="410"/>
      <c r="J35" s="411">
        <f>H35*I35</f>
        <v>0</v>
      </c>
      <c r="K35" s="412">
        <f t="shared" ref="K35:K48" si="0">IF(J$50=0,0,100*J35/J$50)</f>
        <v>0</v>
      </c>
      <c r="L35" s="379"/>
    </row>
    <row r="36" spans="2:13" ht="11.1" customHeight="1">
      <c r="B36" s="405"/>
      <c r="C36" s="390"/>
      <c r="D36" s="413"/>
      <c r="E36" s="407" t="s">
        <v>564</v>
      </c>
      <c r="F36" s="408"/>
      <c r="G36" s="395" t="s">
        <v>563</v>
      </c>
      <c r="H36" s="409"/>
      <c r="I36" s="410"/>
      <c r="J36" s="411">
        <f t="shared" ref="J36:J42" si="1">H36*I36</f>
        <v>0</v>
      </c>
      <c r="K36" s="412">
        <f t="shared" si="0"/>
        <v>0</v>
      </c>
      <c r="L36" s="379"/>
    </row>
    <row r="37" spans="2:13" ht="11.1" customHeight="1">
      <c r="B37" s="405"/>
      <c r="C37" s="390"/>
      <c r="D37" s="413"/>
      <c r="E37" s="407" t="s">
        <v>565</v>
      </c>
      <c r="F37" s="408"/>
      <c r="G37" s="395" t="s">
        <v>566</v>
      </c>
      <c r="H37" s="409"/>
      <c r="I37" s="410"/>
      <c r="J37" s="411">
        <f t="shared" si="1"/>
        <v>0</v>
      </c>
      <c r="K37" s="412">
        <f t="shared" si="0"/>
        <v>0</v>
      </c>
      <c r="L37" s="379"/>
    </row>
    <row r="38" spans="2:13" ht="11.1" customHeight="1">
      <c r="B38" s="414"/>
      <c r="C38" s="390" t="s">
        <v>567</v>
      </c>
      <c r="D38" s="413" t="s">
        <v>568</v>
      </c>
      <c r="E38" s="407" t="s">
        <v>569</v>
      </c>
      <c r="F38" s="408"/>
      <c r="G38" s="395" t="s">
        <v>566</v>
      </c>
      <c r="H38" s="409"/>
      <c r="I38" s="410"/>
      <c r="J38" s="411">
        <f t="shared" si="1"/>
        <v>0</v>
      </c>
      <c r="K38" s="412">
        <f t="shared" si="0"/>
        <v>0</v>
      </c>
      <c r="L38" s="379"/>
    </row>
    <row r="39" spans="2:13" ht="11.1" customHeight="1">
      <c r="B39" s="414"/>
      <c r="C39" s="390"/>
      <c r="D39" s="415" t="s">
        <v>570</v>
      </c>
      <c r="E39" s="407" t="s">
        <v>571</v>
      </c>
      <c r="F39" s="408"/>
      <c r="G39" s="395" t="s">
        <v>566</v>
      </c>
      <c r="H39" s="409"/>
      <c r="I39" s="410"/>
      <c r="J39" s="411">
        <f t="shared" si="1"/>
        <v>0</v>
      </c>
      <c r="K39" s="412">
        <f t="shared" si="0"/>
        <v>0</v>
      </c>
      <c r="L39" s="379"/>
    </row>
    <row r="40" spans="2:13" ht="11.1" customHeight="1">
      <c r="B40" s="414"/>
      <c r="C40" s="390"/>
      <c r="D40" s="413"/>
      <c r="E40" s="407" t="s">
        <v>572</v>
      </c>
      <c r="F40" s="408"/>
      <c r="G40" s="395" t="s">
        <v>563</v>
      </c>
      <c r="H40" s="409"/>
      <c r="I40" s="410"/>
      <c r="J40" s="411">
        <f t="shared" si="1"/>
        <v>0</v>
      </c>
      <c r="K40" s="412">
        <f t="shared" si="0"/>
        <v>0</v>
      </c>
      <c r="L40" s="379"/>
    </row>
    <row r="41" spans="2:13" ht="11.1" customHeight="1">
      <c r="B41" s="380" t="s">
        <v>573</v>
      </c>
      <c r="C41" s="390"/>
      <c r="D41" s="413"/>
      <c r="E41" s="407" t="s">
        <v>574</v>
      </c>
      <c r="F41" s="408"/>
      <c r="G41" s="395" t="s">
        <v>566</v>
      </c>
      <c r="H41" s="409"/>
      <c r="I41" s="410"/>
      <c r="J41" s="411">
        <f t="shared" si="1"/>
        <v>0</v>
      </c>
      <c r="K41" s="412">
        <f t="shared" si="0"/>
        <v>0</v>
      </c>
      <c r="L41" s="379"/>
    </row>
    <row r="42" spans="2:13" ht="11.1" customHeight="1">
      <c r="B42" s="380" t="s">
        <v>575</v>
      </c>
      <c r="C42" s="381"/>
      <c r="D42" s="416"/>
      <c r="E42" s="407" t="s">
        <v>576</v>
      </c>
      <c r="F42" s="408"/>
      <c r="G42" s="395"/>
      <c r="H42" s="409"/>
      <c r="I42" s="410"/>
      <c r="J42" s="411">
        <f t="shared" si="1"/>
        <v>0</v>
      </c>
      <c r="K42" s="412">
        <f t="shared" si="0"/>
        <v>0</v>
      </c>
      <c r="L42" s="379"/>
      <c r="M42" s="388"/>
    </row>
    <row r="43" spans="2:13" ht="11.1" customHeight="1">
      <c r="B43" s="380" t="s">
        <v>577</v>
      </c>
      <c r="C43" s="371"/>
      <c r="D43" s="406"/>
      <c r="E43" s="407" t="s">
        <v>578</v>
      </c>
      <c r="F43" s="408"/>
      <c r="G43" s="395"/>
      <c r="H43" s="417"/>
      <c r="I43" s="418"/>
      <c r="J43" s="411">
        <f>H43*I43</f>
        <v>0</v>
      </c>
      <c r="K43" s="368">
        <f t="shared" si="0"/>
        <v>0</v>
      </c>
      <c r="L43" s="379"/>
    </row>
    <row r="44" spans="2:13" ht="11.1" customHeight="1">
      <c r="B44" s="394"/>
      <c r="C44" s="390" t="s">
        <v>579</v>
      </c>
      <c r="D44" s="413" t="s">
        <v>580</v>
      </c>
      <c r="E44" s="407" t="s">
        <v>581</v>
      </c>
      <c r="F44" s="408"/>
      <c r="G44" s="395"/>
      <c r="H44" s="417"/>
      <c r="I44" s="418"/>
      <c r="J44" s="411">
        <f>H44*I44</f>
        <v>0</v>
      </c>
      <c r="K44" s="368">
        <f t="shared" si="0"/>
        <v>0</v>
      </c>
      <c r="L44" s="379"/>
    </row>
    <row r="45" spans="2:13" ht="11.1" customHeight="1">
      <c r="B45" s="394"/>
      <c r="C45" s="390"/>
      <c r="D45" s="415" t="s">
        <v>582</v>
      </c>
      <c r="E45" s="407" t="s">
        <v>583</v>
      </c>
      <c r="F45" s="408"/>
      <c r="G45" s="395"/>
      <c r="H45" s="417"/>
      <c r="I45" s="418"/>
      <c r="J45" s="411">
        <f>H45*I45</f>
        <v>0</v>
      </c>
      <c r="K45" s="368">
        <f t="shared" si="0"/>
        <v>0</v>
      </c>
      <c r="L45" s="379"/>
    </row>
    <row r="46" spans="2:13" ht="11.1" customHeight="1">
      <c r="B46" s="394"/>
      <c r="C46" s="390"/>
      <c r="D46" s="415" t="s">
        <v>584</v>
      </c>
      <c r="E46" s="407" t="s">
        <v>585</v>
      </c>
      <c r="F46" s="408"/>
      <c r="G46" s="395" t="s">
        <v>586</v>
      </c>
      <c r="H46" s="417"/>
      <c r="I46" s="418"/>
      <c r="J46" s="411">
        <f>H46*I46</f>
        <v>0</v>
      </c>
      <c r="K46" s="368">
        <f t="shared" si="0"/>
        <v>0</v>
      </c>
      <c r="L46" s="379"/>
    </row>
    <row r="47" spans="2:13" ht="11.1" customHeight="1">
      <c r="B47" s="394"/>
      <c r="C47" s="419"/>
      <c r="E47" s="407" t="s">
        <v>587</v>
      </c>
      <c r="F47" s="408"/>
      <c r="G47" s="395" t="s">
        <v>586</v>
      </c>
      <c r="H47" s="417"/>
      <c r="I47" s="418"/>
      <c r="J47" s="411">
        <f>H47*I47</f>
        <v>0</v>
      </c>
      <c r="K47" s="368">
        <f t="shared" si="0"/>
        <v>0</v>
      </c>
      <c r="L47" s="379"/>
    </row>
    <row r="48" spans="2:13" ht="11.1" customHeight="1">
      <c r="B48" s="394"/>
      <c r="C48" s="419"/>
      <c r="E48" s="407" t="s">
        <v>588</v>
      </c>
      <c r="F48" s="408"/>
      <c r="G48" s="395"/>
      <c r="H48" s="409"/>
      <c r="I48" s="410"/>
      <c r="J48" s="421"/>
      <c r="K48" s="368">
        <f t="shared" si="0"/>
        <v>0</v>
      </c>
      <c r="L48" s="379"/>
    </row>
    <row r="49" spans="2:12" ht="11.1" customHeight="1">
      <c r="B49" s="394"/>
      <c r="C49" s="371" t="s">
        <v>559</v>
      </c>
      <c r="D49" s="354"/>
      <c r="E49" s="373"/>
      <c r="F49" s="356"/>
      <c r="G49" s="399"/>
      <c r="H49" s="400"/>
      <c r="I49" s="401"/>
      <c r="J49" s="377"/>
      <c r="K49" s="378"/>
      <c r="L49" s="402"/>
    </row>
    <row r="50" spans="2:12" ht="11.1" customHeight="1">
      <c r="B50" s="365"/>
      <c r="C50" s="381"/>
      <c r="D50" s="362"/>
      <c r="E50" s="363"/>
      <c r="F50" s="364"/>
      <c r="G50" s="399"/>
      <c r="H50" s="400"/>
      <c r="I50" s="401"/>
      <c r="J50" s="403">
        <f>ROUND(SUM(J35:J48),2)</f>
        <v>0</v>
      </c>
      <c r="K50" s="404" t="s">
        <v>560</v>
      </c>
      <c r="L50" s="369">
        <f>IF(J$334=0,0,100*J50/J$334)</f>
        <v>0</v>
      </c>
    </row>
    <row r="51" spans="2:12" ht="11.1" customHeight="1">
      <c r="B51" s="405" t="s">
        <v>589</v>
      </c>
      <c r="C51" s="422" t="s">
        <v>590</v>
      </c>
      <c r="D51" s="423" t="s">
        <v>591</v>
      </c>
      <c r="E51" s="424"/>
      <c r="F51" s="408"/>
      <c r="G51" s="395" t="s">
        <v>566</v>
      </c>
      <c r="H51" s="417"/>
      <c r="I51" s="418"/>
      <c r="J51" s="411">
        <f>H51*I51</f>
        <v>0</v>
      </c>
      <c r="K51" s="412">
        <f>IF(J$55=0,0,100*J51/J$55)</f>
        <v>0</v>
      </c>
      <c r="L51" s="379"/>
    </row>
    <row r="52" spans="2:12" ht="11.1" customHeight="1">
      <c r="B52" s="380"/>
      <c r="C52" s="422" t="s">
        <v>592</v>
      </c>
      <c r="D52" s="423" t="s">
        <v>593</v>
      </c>
      <c r="E52" s="424"/>
      <c r="F52" s="408"/>
      <c r="G52" s="395" t="s">
        <v>563</v>
      </c>
      <c r="H52" s="417"/>
      <c r="I52" s="418"/>
      <c r="J52" s="411">
        <f>H52*I52</f>
        <v>0</v>
      </c>
      <c r="K52" s="412">
        <f>IF(J$55=0,0,100*J52/J$55)</f>
        <v>0</v>
      </c>
      <c r="L52" s="379"/>
    </row>
    <row r="53" spans="2:12" ht="11.1" customHeight="1">
      <c r="B53" s="380" t="s">
        <v>594</v>
      </c>
      <c r="C53" s="425" t="s">
        <v>595</v>
      </c>
      <c r="D53" s="426"/>
      <c r="E53" s="424"/>
      <c r="F53" s="408"/>
      <c r="G53" s="395"/>
      <c r="H53" s="417"/>
      <c r="I53" s="418"/>
      <c r="J53" s="411">
        <f>H53*I53</f>
        <v>0</v>
      </c>
      <c r="K53" s="412">
        <f>IF(J$55=0,0,100*J53/J$55)</f>
        <v>0</v>
      </c>
      <c r="L53" s="379"/>
    </row>
    <row r="54" spans="2:12" ht="11.1" customHeight="1">
      <c r="B54" s="380" t="s">
        <v>575</v>
      </c>
      <c r="C54" s="371" t="s">
        <v>559</v>
      </c>
      <c r="D54" s="354"/>
      <c r="E54" s="373"/>
      <c r="F54" s="356"/>
      <c r="G54" s="399"/>
      <c r="H54" s="400"/>
      <c r="I54" s="401"/>
      <c r="J54" s="377"/>
      <c r="K54" s="378"/>
      <c r="L54" s="402"/>
    </row>
    <row r="55" spans="2:12" ht="11.1" customHeight="1">
      <c r="B55" s="365" t="s">
        <v>577</v>
      </c>
      <c r="C55" s="427"/>
      <c r="D55" s="362"/>
      <c r="E55" s="363"/>
      <c r="F55" s="364"/>
      <c r="G55" s="399"/>
      <c r="H55" s="400"/>
      <c r="I55" s="401"/>
      <c r="J55" s="403">
        <f>ROUND(SUM(J51:J53),2)</f>
        <v>0</v>
      </c>
      <c r="K55" s="404" t="s">
        <v>560</v>
      </c>
      <c r="L55" s="369">
        <f>IF(J$334=0,0,100*J55/J$334)</f>
        <v>0</v>
      </c>
    </row>
    <row r="56" spans="2:12" ht="11.1" customHeight="1">
      <c r="B56" s="405" t="s">
        <v>596</v>
      </c>
      <c r="C56" s="428"/>
      <c r="D56" s="429"/>
      <c r="E56" s="430" t="s">
        <v>597</v>
      </c>
      <c r="F56" s="408"/>
      <c r="G56" s="395" t="s">
        <v>563</v>
      </c>
      <c r="H56" s="417"/>
      <c r="I56" s="418"/>
      <c r="J56" s="411">
        <f t="shared" ref="J56:J62" si="2">H56*I56</f>
        <v>0</v>
      </c>
      <c r="K56" s="412">
        <f t="shared" ref="K56:K62" si="3">IF(J$64=0,0,100*J56/J$64)</f>
        <v>0</v>
      </c>
      <c r="L56" s="379"/>
    </row>
    <row r="57" spans="2:12" ht="11.1" customHeight="1">
      <c r="B57" s="405"/>
      <c r="C57" s="419"/>
      <c r="D57" s="431"/>
      <c r="E57" s="430" t="s">
        <v>598</v>
      </c>
      <c r="F57" s="408"/>
      <c r="G57" s="395" t="s">
        <v>563</v>
      </c>
      <c r="H57" s="417">
        <f>'LISTA MATERIAIS'!F22</f>
        <v>17359.999999999996</v>
      </c>
      <c r="I57" s="418">
        <f>'LISTA MATERIAIS'!G22</f>
        <v>0.6</v>
      </c>
      <c r="J57" s="411">
        <f t="shared" si="2"/>
        <v>10415.999999999998</v>
      </c>
      <c r="K57" s="412">
        <f t="shared" si="3"/>
        <v>99.999999999999972</v>
      </c>
      <c r="L57" s="379"/>
    </row>
    <row r="58" spans="2:12" ht="11.1" customHeight="1">
      <c r="B58" s="405"/>
      <c r="C58" s="419"/>
      <c r="D58" s="431"/>
      <c r="E58" s="430" t="s">
        <v>599</v>
      </c>
      <c r="F58" s="408"/>
      <c r="G58" s="395" t="s">
        <v>563</v>
      </c>
      <c r="H58" s="417"/>
      <c r="I58" s="418"/>
      <c r="J58" s="411">
        <f t="shared" si="2"/>
        <v>0</v>
      </c>
      <c r="K58" s="412">
        <f t="shared" si="3"/>
        <v>0</v>
      </c>
      <c r="L58" s="379"/>
    </row>
    <row r="59" spans="2:12" ht="11.1" customHeight="1">
      <c r="B59" s="405"/>
      <c r="C59" s="390" t="s">
        <v>600</v>
      </c>
      <c r="D59" s="431"/>
      <c r="E59" s="430" t="s">
        <v>601</v>
      </c>
      <c r="F59" s="408"/>
      <c r="G59" s="395" t="s">
        <v>563</v>
      </c>
      <c r="H59" s="417"/>
      <c r="I59" s="418"/>
      <c r="J59" s="411">
        <f t="shared" si="2"/>
        <v>0</v>
      </c>
      <c r="K59" s="412">
        <f t="shared" si="3"/>
        <v>0</v>
      </c>
      <c r="L59" s="379"/>
    </row>
    <row r="60" spans="2:12" ht="11.1" customHeight="1">
      <c r="B60" s="405"/>
      <c r="C60" s="419"/>
      <c r="D60" s="431"/>
      <c r="E60" s="430" t="s">
        <v>602</v>
      </c>
      <c r="F60" s="408"/>
      <c r="G60" s="395" t="s">
        <v>566</v>
      </c>
      <c r="H60" s="417"/>
      <c r="I60" s="418"/>
      <c r="J60" s="411">
        <f t="shared" si="2"/>
        <v>0</v>
      </c>
      <c r="K60" s="412">
        <f t="shared" si="3"/>
        <v>0</v>
      </c>
      <c r="L60" s="379"/>
    </row>
    <row r="61" spans="2:12" ht="11.1" customHeight="1">
      <c r="B61" s="405"/>
      <c r="C61" s="432"/>
      <c r="D61" s="432"/>
      <c r="E61" s="430" t="s">
        <v>603</v>
      </c>
      <c r="F61" s="408"/>
      <c r="G61" s="395"/>
      <c r="H61" s="417"/>
      <c r="I61" s="418"/>
      <c r="J61" s="411">
        <f>H61*I61</f>
        <v>0</v>
      </c>
      <c r="K61" s="412">
        <f t="shared" si="3"/>
        <v>0</v>
      </c>
      <c r="L61" s="379"/>
    </row>
    <row r="62" spans="2:12" ht="11.1" customHeight="1">
      <c r="B62" s="380" t="s">
        <v>604</v>
      </c>
      <c r="E62" s="430" t="s">
        <v>605</v>
      </c>
      <c r="F62" s="408"/>
      <c r="G62" s="395"/>
      <c r="H62" s="417"/>
      <c r="I62" s="418"/>
      <c r="J62" s="411">
        <f t="shared" si="2"/>
        <v>0</v>
      </c>
      <c r="K62" s="412">
        <f t="shared" si="3"/>
        <v>0</v>
      </c>
      <c r="L62" s="379"/>
    </row>
    <row r="63" spans="2:12" ht="11.1" customHeight="1">
      <c r="B63" s="380" t="s">
        <v>548</v>
      </c>
      <c r="C63" s="419"/>
      <c r="D63" s="431"/>
      <c r="E63" s="433" t="s">
        <v>606</v>
      </c>
      <c r="F63" s="356"/>
      <c r="G63" s="399"/>
      <c r="H63" s="400"/>
      <c r="I63" s="401"/>
      <c r="J63" s="377"/>
      <c r="K63" s="378"/>
      <c r="L63" s="402"/>
    </row>
    <row r="64" spans="2:12" ht="11.1" customHeight="1">
      <c r="B64" s="380" t="s">
        <v>607</v>
      </c>
      <c r="C64" s="427"/>
      <c r="D64" s="434"/>
      <c r="E64" s="435"/>
      <c r="F64" s="364"/>
      <c r="G64" s="399"/>
      <c r="H64" s="400"/>
      <c r="I64" s="401"/>
      <c r="J64" s="403">
        <f>ROUND(SUM(J56:J62),2)</f>
        <v>10416</v>
      </c>
      <c r="K64" s="404" t="s">
        <v>560</v>
      </c>
      <c r="L64" s="369">
        <f>IF(J$334=0,0,100*J64/J$334)</f>
        <v>8.1113781937091503</v>
      </c>
    </row>
    <row r="65" spans="2:14" ht="11.1" customHeight="1">
      <c r="B65" s="380"/>
      <c r="C65" s="428"/>
      <c r="D65" s="429"/>
      <c r="E65" s="436"/>
      <c r="F65" s="437" t="s">
        <v>608</v>
      </c>
      <c r="G65" s="395" t="s">
        <v>338</v>
      </c>
      <c r="H65" s="417">
        <f>'LISTA MATERIAIS'!F24</f>
        <v>9</v>
      </c>
      <c r="I65" s="418"/>
      <c r="J65" s="411">
        <f t="shared" ref="J65:J79" si="4">H65*I65</f>
        <v>0</v>
      </c>
      <c r="K65" s="412">
        <f t="shared" ref="K65:K79" si="5">IF(J$81=0,0,100*J65/J$81)</f>
        <v>0</v>
      </c>
      <c r="L65" s="379"/>
    </row>
    <row r="66" spans="2:14" ht="11.1" customHeight="1">
      <c r="B66" s="380"/>
      <c r="C66" s="390"/>
      <c r="D66" s="431"/>
      <c r="E66" s="438"/>
      <c r="F66" s="437" t="s">
        <v>609</v>
      </c>
      <c r="G66" s="395" t="s">
        <v>338</v>
      </c>
      <c r="H66" s="417"/>
      <c r="I66" s="418"/>
      <c r="J66" s="411">
        <f t="shared" si="4"/>
        <v>0</v>
      </c>
      <c r="K66" s="412">
        <f t="shared" si="5"/>
        <v>0</v>
      </c>
      <c r="L66" s="379"/>
    </row>
    <row r="67" spans="2:14" ht="11.1" customHeight="1">
      <c r="B67" s="380"/>
      <c r="C67" s="390" t="s">
        <v>610</v>
      </c>
      <c r="D67" s="431"/>
      <c r="E67" s="438"/>
      <c r="F67" s="437" t="s">
        <v>611</v>
      </c>
      <c r="G67" s="395" t="s">
        <v>338</v>
      </c>
      <c r="H67" s="417">
        <f>'LISTA MATERIAIS'!F25</f>
        <v>5</v>
      </c>
      <c r="I67" s="418"/>
      <c r="J67" s="411">
        <f t="shared" si="4"/>
        <v>0</v>
      </c>
      <c r="K67" s="412">
        <f t="shared" si="5"/>
        <v>0</v>
      </c>
      <c r="L67" s="379"/>
    </row>
    <row r="68" spans="2:14" ht="11.1" customHeight="1">
      <c r="B68" s="380"/>
      <c r="C68" s="390"/>
      <c r="D68" s="413" t="s">
        <v>612</v>
      </c>
      <c r="E68" s="439" t="s">
        <v>613</v>
      </c>
      <c r="F68" s="437" t="s">
        <v>614</v>
      </c>
      <c r="G68" s="395" t="s">
        <v>338</v>
      </c>
      <c r="H68" s="417"/>
      <c r="I68" s="418"/>
      <c r="J68" s="411">
        <f t="shared" si="4"/>
        <v>0</v>
      </c>
      <c r="K68" s="412">
        <f t="shared" si="5"/>
        <v>0</v>
      </c>
      <c r="L68" s="379"/>
    </row>
    <row r="69" spans="2:14" ht="11.1" customHeight="1">
      <c r="B69" s="380"/>
      <c r="C69" s="419"/>
      <c r="D69" s="431"/>
      <c r="E69" s="438"/>
      <c r="F69" s="437" t="s">
        <v>615</v>
      </c>
      <c r="G69" s="395" t="s">
        <v>338</v>
      </c>
      <c r="H69" s="417"/>
      <c r="I69" s="418"/>
      <c r="J69" s="411">
        <f t="shared" si="4"/>
        <v>0</v>
      </c>
      <c r="K69" s="412">
        <f t="shared" si="5"/>
        <v>0</v>
      </c>
      <c r="L69" s="379"/>
    </row>
    <row r="70" spans="2:14" ht="11.1" customHeight="1">
      <c r="B70" s="365"/>
      <c r="C70" s="427"/>
      <c r="D70" s="434"/>
      <c r="E70" s="440"/>
      <c r="F70" s="441" t="s">
        <v>616</v>
      </c>
      <c r="G70" s="395"/>
      <c r="H70" s="417"/>
      <c r="I70" s="418"/>
      <c r="J70" s="411">
        <f t="shared" si="4"/>
        <v>0</v>
      </c>
      <c r="K70" s="412">
        <f t="shared" si="5"/>
        <v>0</v>
      </c>
      <c r="L70" s="379"/>
      <c r="N70" s="388"/>
    </row>
    <row r="71" spans="2:14" ht="11.1" customHeight="1">
      <c r="B71" s="405">
        <v>4</v>
      </c>
      <c r="C71" s="442"/>
      <c r="D71" s="442"/>
      <c r="E71" s="438"/>
      <c r="F71" s="443" t="s">
        <v>617</v>
      </c>
      <c r="G71" s="383" t="s">
        <v>338</v>
      </c>
      <c r="H71" s="444"/>
      <c r="I71" s="384"/>
      <c r="J71" s="367">
        <f t="shared" si="4"/>
        <v>0</v>
      </c>
      <c r="K71" s="368">
        <f t="shared" si="5"/>
        <v>0</v>
      </c>
      <c r="L71" s="379"/>
    </row>
    <row r="72" spans="2:14" ht="11.1" customHeight="1">
      <c r="B72" s="380"/>
      <c r="C72" s="390"/>
      <c r="D72" s="431"/>
      <c r="E72" s="438"/>
      <c r="F72" s="437" t="s">
        <v>618</v>
      </c>
      <c r="G72" s="395" t="s">
        <v>338</v>
      </c>
      <c r="H72" s="417"/>
      <c r="I72" s="418"/>
      <c r="J72" s="411">
        <f t="shared" si="4"/>
        <v>0</v>
      </c>
      <c r="K72" s="412">
        <f t="shared" si="5"/>
        <v>0</v>
      </c>
      <c r="L72" s="379"/>
    </row>
    <row r="73" spans="2:14" ht="11.1" customHeight="1">
      <c r="B73" s="380"/>
      <c r="C73" s="390"/>
      <c r="D73" s="413"/>
      <c r="E73" s="438"/>
      <c r="F73" s="437" t="s">
        <v>619</v>
      </c>
      <c r="G73" s="395" t="s">
        <v>338</v>
      </c>
      <c r="H73" s="417"/>
      <c r="I73" s="418"/>
      <c r="J73" s="411">
        <f t="shared" si="4"/>
        <v>0</v>
      </c>
      <c r="K73" s="412">
        <f t="shared" si="5"/>
        <v>0</v>
      </c>
      <c r="L73" s="379"/>
    </row>
    <row r="74" spans="2:14" ht="11.1" customHeight="1">
      <c r="B74" s="380"/>
      <c r="C74" s="419"/>
      <c r="D74" s="431"/>
      <c r="E74" s="439" t="s">
        <v>620</v>
      </c>
      <c r="F74" s="437" t="s">
        <v>621</v>
      </c>
      <c r="G74" s="395" t="s">
        <v>338</v>
      </c>
      <c r="H74" s="417"/>
      <c r="I74" s="418"/>
      <c r="J74" s="411">
        <f t="shared" si="4"/>
        <v>0</v>
      </c>
      <c r="K74" s="412">
        <f t="shared" si="5"/>
        <v>0</v>
      </c>
      <c r="L74" s="379"/>
    </row>
    <row r="75" spans="2:14" ht="11.1" customHeight="1">
      <c r="B75" s="380"/>
      <c r="C75" s="390" t="s">
        <v>610</v>
      </c>
      <c r="D75" s="431"/>
      <c r="E75" s="438"/>
      <c r="F75" s="437" t="s">
        <v>622</v>
      </c>
      <c r="G75" s="395" t="s">
        <v>338</v>
      </c>
      <c r="H75" s="417"/>
      <c r="I75" s="418"/>
      <c r="J75" s="411">
        <f t="shared" si="4"/>
        <v>0</v>
      </c>
      <c r="K75" s="412">
        <f t="shared" si="5"/>
        <v>0</v>
      </c>
      <c r="L75" s="379"/>
    </row>
    <row r="76" spans="2:14" ht="11.1" customHeight="1">
      <c r="B76" s="380"/>
      <c r="C76" s="390"/>
      <c r="D76" s="413" t="s">
        <v>612</v>
      </c>
      <c r="E76" s="438"/>
      <c r="F76" s="437" t="s">
        <v>623</v>
      </c>
      <c r="G76" s="395" t="s">
        <v>338</v>
      </c>
      <c r="H76" s="417"/>
      <c r="I76" s="418"/>
      <c r="J76" s="411">
        <f t="shared" si="4"/>
        <v>0</v>
      </c>
      <c r="K76" s="412">
        <f t="shared" si="5"/>
        <v>0</v>
      </c>
      <c r="L76" s="379"/>
    </row>
    <row r="77" spans="2:14" ht="11.1" customHeight="1">
      <c r="B77" s="380"/>
      <c r="C77" s="419"/>
      <c r="D77" s="431"/>
      <c r="E77" s="438"/>
      <c r="F77" s="437" t="s">
        <v>624</v>
      </c>
      <c r="G77" s="395" t="s">
        <v>338</v>
      </c>
      <c r="H77" s="445"/>
      <c r="I77" s="446"/>
      <c r="J77" s="411">
        <f t="shared" si="4"/>
        <v>0</v>
      </c>
      <c r="K77" s="412">
        <f t="shared" si="5"/>
        <v>0</v>
      </c>
      <c r="L77" s="379"/>
    </row>
    <row r="78" spans="2:14" ht="11.1" customHeight="1">
      <c r="B78" s="414"/>
      <c r="C78" s="419"/>
      <c r="D78" s="431"/>
      <c r="E78" s="438"/>
      <c r="F78" s="437" t="s">
        <v>625</v>
      </c>
      <c r="G78" s="395" t="s">
        <v>338</v>
      </c>
      <c r="H78" s="417"/>
      <c r="I78" s="418"/>
      <c r="J78" s="411">
        <f t="shared" si="4"/>
        <v>0</v>
      </c>
      <c r="K78" s="412">
        <f t="shared" si="5"/>
        <v>0</v>
      </c>
      <c r="L78" s="379"/>
    </row>
    <row r="79" spans="2:14" ht="11.1" customHeight="1">
      <c r="B79" s="380"/>
      <c r="C79" s="419"/>
      <c r="D79" s="431"/>
      <c r="E79" s="438"/>
      <c r="F79" s="437" t="s">
        <v>626</v>
      </c>
      <c r="G79" s="395"/>
      <c r="H79" s="417"/>
      <c r="I79" s="418"/>
      <c r="J79" s="411">
        <f t="shared" si="4"/>
        <v>0</v>
      </c>
      <c r="K79" s="412">
        <f t="shared" si="5"/>
        <v>0</v>
      </c>
      <c r="L79" s="379"/>
      <c r="N79" s="388"/>
    </row>
    <row r="80" spans="2:14" ht="11.1" customHeight="1">
      <c r="B80" s="380"/>
      <c r="C80" s="419"/>
      <c r="D80" s="431"/>
      <c r="E80" s="433" t="s">
        <v>606</v>
      </c>
      <c r="F80" s="356"/>
      <c r="G80" s="399"/>
      <c r="H80" s="400"/>
      <c r="I80" s="401"/>
      <c r="J80" s="377"/>
      <c r="K80" s="378"/>
      <c r="L80" s="402"/>
    </row>
    <row r="81" spans="2:12" ht="11.1" customHeight="1">
      <c r="B81" s="380"/>
      <c r="C81" s="427"/>
      <c r="D81" s="434"/>
      <c r="E81" s="435"/>
      <c r="F81" s="364"/>
      <c r="G81" s="447"/>
      <c r="H81" s="448"/>
      <c r="I81" s="449"/>
      <c r="J81" s="450">
        <f>ROUND(SUM(J65:J79),2)</f>
        <v>0</v>
      </c>
      <c r="K81" s="404" t="s">
        <v>560</v>
      </c>
      <c r="L81" s="369">
        <f>IF(J$334=0,0,100*J81/J$334)</f>
        <v>0</v>
      </c>
    </row>
    <row r="82" spans="2:12" ht="11.1" customHeight="1">
      <c r="B82" s="451"/>
      <c r="C82" s="419"/>
      <c r="D82" s="431"/>
      <c r="E82" s="430" t="s">
        <v>627</v>
      </c>
      <c r="F82" s="408"/>
      <c r="G82" s="395" t="s">
        <v>628</v>
      </c>
      <c r="H82" s="417"/>
      <c r="I82" s="418"/>
      <c r="J82" s="411">
        <f t="shared" ref="J82:J89" si="6">H82*I82</f>
        <v>0</v>
      </c>
      <c r="K82" s="412">
        <f t="shared" ref="K82:K89" si="7">IF(J$91=0,0,100*J82/J$91)</f>
        <v>0</v>
      </c>
      <c r="L82" s="379"/>
    </row>
    <row r="83" spans="2:12" ht="11.1" customHeight="1">
      <c r="B83" s="414"/>
      <c r="C83" s="419"/>
      <c r="D83" s="431"/>
      <c r="E83" s="430" t="s">
        <v>629</v>
      </c>
      <c r="F83" s="408"/>
      <c r="G83" s="395" t="s">
        <v>628</v>
      </c>
      <c r="H83" s="417">
        <f>'LISTA MATERIAIS'!F59</f>
        <v>13</v>
      </c>
      <c r="I83" s="418">
        <f>'LISTA MATERIAIS'!G59</f>
        <v>230</v>
      </c>
      <c r="J83" s="411">
        <f t="shared" si="6"/>
        <v>2990</v>
      </c>
      <c r="K83" s="412">
        <f t="shared" si="7"/>
        <v>100</v>
      </c>
      <c r="L83" s="379"/>
    </row>
    <row r="84" spans="2:12" ht="11.1" customHeight="1">
      <c r="B84" s="414"/>
      <c r="C84" s="419"/>
      <c r="D84" s="431"/>
      <c r="E84" s="430" t="s">
        <v>630</v>
      </c>
      <c r="F84" s="408"/>
      <c r="G84" s="395" t="s">
        <v>628</v>
      </c>
      <c r="H84" s="417"/>
      <c r="I84" s="418"/>
      <c r="J84" s="411">
        <f t="shared" si="6"/>
        <v>0</v>
      </c>
      <c r="K84" s="412">
        <f t="shared" si="7"/>
        <v>0</v>
      </c>
      <c r="L84" s="379"/>
    </row>
    <row r="85" spans="2:12" ht="11.1" customHeight="1">
      <c r="B85" s="414"/>
      <c r="C85" s="390" t="s">
        <v>631</v>
      </c>
      <c r="D85" s="431"/>
      <c r="E85" s="430" t="s">
        <v>632</v>
      </c>
      <c r="F85" s="408"/>
      <c r="G85" s="395" t="s">
        <v>628</v>
      </c>
      <c r="H85" s="417"/>
      <c r="I85" s="418"/>
      <c r="J85" s="411">
        <f t="shared" si="6"/>
        <v>0</v>
      </c>
      <c r="K85" s="412">
        <f t="shared" si="7"/>
        <v>0</v>
      </c>
      <c r="L85" s="379"/>
    </row>
    <row r="86" spans="2:12" ht="11.1" customHeight="1">
      <c r="B86" s="414"/>
      <c r="C86" s="419"/>
      <c r="D86" s="413" t="s">
        <v>633</v>
      </c>
      <c r="E86" s="407" t="s">
        <v>634</v>
      </c>
      <c r="F86" s="408"/>
      <c r="G86" s="395" t="s">
        <v>628</v>
      </c>
      <c r="H86" s="417"/>
      <c r="I86" s="418"/>
      <c r="J86" s="411">
        <f t="shared" si="6"/>
        <v>0</v>
      </c>
      <c r="K86" s="412">
        <f t="shared" si="7"/>
        <v>0</v>
      </c>
      <c r="L86" s="379"/>
    </row>
    <row r="87" spans="2:12" ht="11.1" customHeight="1">
      <c r="B87" s="414"/>
      <c r="C87" s="419"/>
      <c r="D87" s="431"/>
      <c r="E87" s="452" t="s">
        <v>635</v>
      </c>
      <c r="F87" s="408"/>
      <c r="G87" s="395" t="s">
        <v>628</v>
      </c>
      <c r="H87" s="417"/>
      <c r="I87" s="418"/>
      <c r="J87" s="411">
        <f t="shared" si="6"/>
        <v>0</v>
      </c>
      <c r="K87" s="412">
        <f t="shared" si="7"/>
        <v>0</v>
      </c>
      <c r="L87" s="379"/>
    </row>
    <row r="88" spans="2:12" ht="11.1" customHeight="1">
      <c r="B88" s="414"/>
      <c r="C88" s="419"/>
      <c r="D88" s="431"/>
      <c r="E88" s="407" t="s">
        <v>636</v>
      </c>
      <c r="F88" s="408"/>
      <c r="G88" s="395" t="s">
        <v>563</v>
      </c>
      <c r="H88" s="417"/>
      <c r="I88" s="418"/>
      <c r="J88" s="411">
        <f t="shared" si="6"/>
        <v>0</v>
      </c>
      <c r="K88" s="412">
        <f t="shared" si="7"/>
        <v>0</v>
      </c>
      <c r="L88" s="379"/>
    </row>
    <row r="89" spans="2:12" ht="11.1" customHeight="1">
      <c r="B89" s="380" t="s">
        <v>604</v>
      </c>
      <c r="C89" s="419"/>
      <c r="D89" s="431"/>
      <c r="E89" s="407" t="s">
        <v>637</v>
      </c>
      <c r="F89" s="408"/>
      <c r="G89" s="395"/>
      <c r="H89" s="417"/>
      <c r="I89" s="418"/>
      <c r="J89" s="411">
        <f t="shared" si="6"/>
        <v>0</v>
      </c>
      <c r="K89" s="412">
        <f t="shared" si="7"/>
        <v>0</v>
      </c>
      <c r="L89" s="379"/>
    </row>
    <row r="90" spans="2:12" ht="11.1" customHeight="1">
      <c r="B90" s="380" t="s">
        <v>548</v>
      </c>
      <c r="C90" s="419"/>
      <c r="D90" s="431"/>
      <c r="E90" s="433" t="s">
        <v>606</v>
      </c>
      <c r="F90" s="356"/>
      <c r="G90" s="399"/>
      <c r="H90" s="400"/>
      <c r="I90" s="401"/>
      <c r="J90" s="377"/>
      <c r="K90" s="378"/>
      <c r="L90" s="402"/>
    </row>
    <row r="91" spans="2:12" ht="11.1" customHeight="1">
      <c r="B91" s="380" t="s">
        <v>607</v>
      </c>
      <c r="C91" s="427"/>
      <c r="D91" s="434"/>
      <c r="E91" s="435"/>
      <c r="F91" s="364"/>
      <c r="G91" s="447"/>
      <c r="H91" s="448"/>
      <c r="I91" s="449"/>
      <c r="J91" s="453">
        <f>ROUND(SUM(J82:J89),2)</f>
        <v>2990</v>
      </c>
      <c r="K91" s="404" t="s">
        <v>560</v>
      </c>
      <c r="L91" s="369">
        <f>IF(J$334=0,0,100*J91/J$334)</f>
        <v>2.3284390168193507</v>
      </c>
    </row>
    <row r="92" spans="2:12" ht="11.1" customHeight="1">
      <c r="B92" s="405"/>
      <c r="C92" s="428"/>
      <c r="D92" s="429"/>
      <c r="E92" s="430" t="s">
        <v>638</v>
      </c>
      <c r="F92" s="408"/>
      <c r="G92" s="395" t="s">
        <v>639</v>
      </c>
      <c r="H92" s="417"/>
      <c r="I92" s="418"/>
      <c r="J92" s="411">
        <f t="shared" ref="J92:J98" si="8">H92*I92</f>
        <v>0</v>
      </c>
      <c r="K92" s="412">
        <f t="shared" ref="K92:K98" si="9">IF(J$100=0,0,100*J92/J$100)</f>
        <v>0</v>
      </c>
      <c r="L92" s="379"/>
    </row>
    <row r="93" spans="2:12" ht="11.1" customHeight="1">
      <c r="B93" s="380"/>
      <c r="C93" s="419"/>
      <c r="D93" s="431"/>
      <c r="E93" s="430" t="s">
        <v>640</v>
      </c>
      <c r="F93" s="408"/>
      <c r="G93" s="395" t="s">
        <v>639</v>
      </c>
      <c r="H93" s="417"/>
      <c r="I93" s="418"/>
      <c r="J93" s="411">
        <f t="shared" si="8"/>
        <v>0</v>
      </c>
      <c r="K93" s="412">
        <f t="shared" si="9"/>
        <v>0</v>
      </c>
      <c r="L93" s="379"/>
    </row>
    <row r="94" spans="2:12" ht="11.1" customHeight="1">
      <c r="B94" s="380"/>
      <c r="C94" s="419"/>
      <c r="D94" s="431"/>
      <c r="E94" s="430" t="s">
        <v>641</v>
      </c>
      <c r="F94" s="408"/>
      <c r="G94" s="395" t="s">
        <v>639</v>
      </c>
      <c r="H94" s="417"/>
      <c r="I94" s="418"/>
      <c r="J94" s="411">
        <f t="shared" si="8"/>
        <v>0</v>
      </c>
      <c r="K94" s="412">
        <f t="shared" si="9"/>
        <v>0</v>
      </c>
      <c r="L94" s="379"/>
    </row>
    <row r="95" spans="2:12" ht="11.1" customHeight="1">
      <c r="B95" s="380"/>
      <c r="C95" s="390" t="s">
        <v>642</v>
      </c>
      <c r="D95" s="431"/>
      <c r="E95" s="430" t="s">
        <v>643</v>
      </c>
      <c r="F95" s="408"/>
      <c r="G95" s="395" t="s">
        <v>639</v>
      </c>
      <c r="H95" s="417"/>
      <c r="I95" s="418"/>
      <c r="J95" s="411">
        <f t="shared" si="8"/>
        <v>0</v>
      </c>
      <c r="K95" s="412">
        <f t="shared" si="9"/>
        <v>0</v>
      </c>
      <c r="L95" s="379"/>
    </row>
    <row r="96" spans="2:12" ht="11.1" customHeight="1">
      <c r="B96" s="380"/>
      <c r="C96" s="442"/>
      <c r="D96" s="431"/>
      <c r="E96" s="430" t="s">
        <v>644</v>
      </c>
      <c r="F96" s="408"/>
      <c r="G96" s="395" t="s">
        <v>639</v>
      </c>
      <c r="H96" s="417"/>
      <c r="I96" s="418"/>
      <c r="J96" s="411">
        <f t="shared" si="8"/>
        <v>0</v>
      </c>
      <c r="K96" s="412">
        <f t="shared" si="9"/>
        <v>0</v>
      </c>
      <c r="L96" s="379"/>
    </row>
    <row r="97" spans="2:13" ht="11.1" customHeight="1">
      <c r="B97" s="380"/>
      <c r="C97" s="419"/>
      <c r="D97" s="431"/>
      <c r="E97" s="430" t="s">
        <v>645</v>
      </c>
      <c r="F97" s="408"/>
      <c r="G97" s="395" t="s">
        <v>338</v>
      </c>
      <c r="H97" s="417"/>
      <c r="I97" s="410"/>
      <c r="J97" s="411">
        <f t="shared" si="8"/>
        <v>0</v>
      </c>
      <c r="K97" s="412">
        <f t="shared" si="9"/>
        <v>0</v>
      </c>
      <c r="L97" s="379"/>
    </row>
    <row r="98" spans="2:13" ht="11.1" customHeight="1">
      <c r="B98" s="380"/>
      <c r="C98" s="419"/>
      <c r="D98" s="431"/>
      <c r="E98" s="407" t="s">
        <v>646</v>
      </c>
      <c r="F98" s="408"/>
      <c r="G98" s="395"/>
      <c r="H98" s="417"/>
      <c r="I98" s="418"/>
      <c r="J98" s="411">
        <f t="shared" si="8"/>
        <v>0</v>
      </c>
      <c r="K98" s="412">
        <f t="shared" si="9"/>
        <v>0</v>
      </c>
      <c r="L98" s="379"/>
    </row>
    <row r="99" spans="2:13" ht="11.1" customHeight="1">
      <c r="B99" s="380"/>
      <c r="C99" s="419"/>
      <c r="D99" s="431"/>
      <c r="E99" s="433" t="s">
        <v>606</v>
      </c>
      <c r="F99" s="356"/>
      <c r="G99" s="399"/>
      <c r="H99" s="400"/>
      <c r="I99" s="401"/>
      <c r="J99" s="377"/>
      <c r="K99" s="378"/>
      <c r="L99" s="402"/>
    </row>
    <row r="100" spans="2:13" ht="11.1" customHeight="1">
      <c r="B100" s="380"/>
      <c r="C100" s="427"/>
      <c r="D100" s="434"/>
      <c r="E100" s="435"/>
      <c r="F100" s="364"/>
      <c r="G100" s="399"/>
      <c r="H100" s="454"/>
      <c r="I100" s="401"/>
      <c r="J100" s="453">
        <f>ROUND(SUM(J92:J98),2)</f>
        <v>0</v>
      </c>
      <c r="K100" s="404" t="s">
        <v>560</v>
      </c>
      <c r="L100" s="369">
        <f>IF(J$334=0,0,100*J100/J$334)</f>
        <v>0</v>
      </c>
    </row>
    <row r="101" spans="2:13" ht="11.1" customHeight="1">
      <c r="B101" s="380"/>
      <c r="C101" s="428"/>
      <c r="D101" s="429"/>
      <c r="E101" s="430" t="s">
        <v>647</v>
      </c>
      <c r="F101" s="408"/>
      <c r="G101" s="395" t="s">
        <v>563</v>
      </c>
      <c r="H101" s="417"/>
      <c r="I101" s="418"/>
      <c r="J101" s="411">
        <f t="shared" ref="J101:J106" si="10">H101*I101</f>
        <v>0</v>
      </c>
      <c r="K101" s="412">
        <f t="shared" ref="K101:K106" si="11">IF(J$108=0,0,100*J101/J$108)</f>
        <v>0</v>
      </c>
      <c r="L101" s="379"/>
    </row>
    <row r="102" spans="2:13" ht="11.1" customHeight="1">
      <c r="B102" s="380"/>
      <c r="C102" s="390" t="s">
        <v>648</v>
      </c>
      <c r="D102" s="431"/>
      <c r="E102" s="430" t="s">
        <v>649</v>
      </c>
      <c r="F102" s="408"/>
      <c r="G102" s="395" t="s">
        <v>563</v>
      </c>
      <c r="H102" s="417"/>
      <c r="I102" s="418"/>
      <c r="J102" s="411">
        <f t="shared" si="10"/>
        <v>0</v>
      </c>
      <c r="K102" s="412">
        <f t="shared" si="11"/>
        <v>0</v>
      </c>
      <c r="L102" s="379"/>
    </row>
    <row r="103" spans="2:13" ht="11.1" customHeight="1">
      <c r="B103" s="380"/>
      <c r="C103" s="390"/>
      <c r="D103" s="431" t="s">
        <v>650</v>
      </c>
      <c r="E103" s="430" t="s">
        <v>651</v>
      </c>
      <c r="F103" s="408"/>
      <c r="G103" s="395" t="s">
        <v>563</v>
      </c>
      <c r="H103" s="417"/>
      <c r="I103" s="418"/>
      <c r="J103" s="411">
        <f t="shared" si="10"/>
        <v>0</v>
      </c>
      <c r="K103" s="412">
        <f t="shared" si="11"/>
        <v>0</v>
      </c>
      <c r="L103" s="379"/>
    </row>
    <row r="104" spans="2:13" ht="11.1" customHeight="1">
      <c r="B104" s="380"/>
      <c r="C104" s="390"/>
      <c r="D104" s="431"/>
      <c r="E104" s="430" t="s">
        <v>652</v>
      </c>
      <c r="F104" s="408"/>
      <c r="G104" s="395" t="s">
        <v>563</v>
      </c>
      <c r="H104" s="417"/>
      <c r="I104" s="418"/>
      <c r="J104" s="411">
        <f t="shared" si="10"/>
        <v>0</v>
      </c>
      <c r="K104" s="412">
        <f t="shared" si="11"/>
        <v>0</v>
      </c>
      <c r="L104" s="379"/>
    </row>
    <row r="105" spans="2:13" ht="11.1" customHeight="1">
      <c r="B105" s="414"/>
      <c r="C105" s="390"/>
      <c r="D105" s="431"/>
      <c r="E105" s="430" t="s">
        <v>653</v>
      </c>
      <c r="F105" s="408"/>
      <c r="G105" s="395" t="s">
        <v>563</v>
      </c>
      <c r="H105" s="417"/>
      <c r="I105" s="418"/>
      <c r="J105" s="411">
        <f t="shared" si="10"/>
        <v>0</v>
      </c>
      <c r="K105" s="412">
        <f t="shared" si="11"/>
        <v>0</v>
      </c>
      <c r="L105" s="379"/>
    </row>
    <row r="106" spans="2:13" ht="11.1" customHeight="1">
      <c r="B106" s="380"/>
      <c r="C106" s="390"/>
      <c r="D106" s="431"/>
      <c r="E106" s="430" t="s">
        <v>654</v>
      </c>
      <c r="F106" s="408"/>
      <c r="G106" s="395"/>
      <c r="H106" s="417"/>
      <c r="I106" s="418"/>
      <c r="J106" s="411">
        <f t="shared" si="10"/>
        <v>0</v>
      </c>
      <c r="K106" s="412">
        <f t="shared" si="11"/>
        <v>0</v>
      </c>
      <c r="L106" s="379"/>
    </row>
    <row r="107" spans="2:13" ht="11.1" customHeight="1">
      <c r="B107" s="414"/>
      <c r="C107" s="419"/>
      <c r="D107" s="431"/>
      <c r="E107" s="433" t="s">
        <v>606</v>
      </c>
      <c r="F107" s="356"/>
      <c r="G107" s="399"/>
      <c r="H107" s="400"/>
      <c r="I107" s="401"/>
      <c r="J107" s="377"/>
      <c r="K107" s="378"/>
      <c r="L107" s="402"/>
    </row>
    <row r="108" spans="2:13" ht="11.1" customHeight="1">
      <c r="B108" s="414"/>
      <c r="C108" s="427"/>
      <c r="D108" s="434"/>
      <c r="E108" s="435"/>
      <c r="F108" s="364"/>
      <c r="G108" s="399"/>
      <c r="H108" s="400"/>
      <c r="I108" s="401"/>
      <c r="J108" s="453">
        <f>ROUND(SUM(J101:J106),2)</f>
        <v>0</v>
      </c>
      <c r="K108" s="404" t="s">
        <v>560</v>
      </c>
      <c r="L108" s="369">
        <f>IF(J$334=0,0,100*J108/J$334)</f>
        <v>0</v>
      </c>
    </row>
    <row r="109" spans="2:13" ht="11.1" customHeight="1">
      <c r="B109" s="414"/>
      <c r="C109" s="371" t="s">
        <v>559</v>
      </c>
      <c r="D109" s="354"/>
      <c r="E109" s="373"/>
      <c r="F109" s="356"/>
      <c r="G109" s="399"/>
      <c r="H109" s="400"/>
      <c r="I109" s="401"/>
      <c r="J109" s="377"/>
      <c r="K109" s="455"/>
      <c r="L109" s="379"/>
    </row>
    <row r="110" spans="2:13" ht="11.1" customHeight="1">
      <c r="B110" s="380"/>
      <c r="C110" s="419"/>
      <c r="D110" s="432"/>
      <c r="E110" s="392"/>
      <c r="F110" s="393"/>
      <c r="G110" s="456"/>
      <c r="H110" s="457"/>
      <c r="I110" s="458"/>
      <c r="J110" s="459">
        <f>J108+J100+J91+J81+J64</f>
        <v>13406</v>
      </c>
      <c r="K110" s="460"/>
      <c r="L110" s="379"/>
      <c r="M110" s="388"/>
    </row>
    <row r="111" spans="2:13" ht="11.1" customHeight="1">
      <c r="B111" s="370" t="s">
        <v>655</v>
      </c>
      <c r="C111" s="428"/>
      <c r="D111" s="429"/>
      <c r="E111" s="430" t="s">
        <v>656</v>
      </c>
      <c r="F111" s="408"/>
      <c r="G111" s="395" t="s">
        <v>338</v>
      </c>
      <c r="H111" s="417">
        <f>'LISTA MATERIAIS'!F46</f>
        <v>1</v>
      </c>
      <c r="I111" s="418">
        <f>'LISTA MATERIAIS'!G46</f>
        <v>4370</v>
      </c>
      <c r="J111" s="411">
        <f>I111*H111</f>
        <v>4370</v>
      </c>
      <c r="K111" s="412">
        <f>IF(J$116=0,0,100*J111/J$116)</f>
        <v>41.412380122057542</v>
      </c>
      <c r="L111" s="379"/>
    </row>
    <row r="112" spans="2:13" ht="11.1" customHeight="1">
      <c r="B112" s="405"/>
      <c r="C112" s="461"/>
      <c r="D112" s="431"/>
      <c r="E112" s="430" t="s">
        <v>657</v>
      </c>
      <c r="F112" s="408"/>
      <c r="G112" s="395" t="s">
        <v>338</v>
      </c>
      <c r="H112" s="417">
        <f>'LISTA MATERIAIS'!F44</f>
        <v>2060.8000000000002</v>
      </c>
      <c r="I112" s="418">
        <f>'LISTA MATERIAIS'!G44</f>
        <v>3</v>
      </c>
      <c r="J112" s="411">
        <f>I112*H112</f>
        <v>6182.4000000000005</v>
      </c>
      <c r="K112" s="412">
        <f>IF(J$116=0,0,100*J112/J$116)</f>
        <v>58.587619877942458</v>
      </c>
      <c r="L112" s="379"/>
    </row>
    <row r="113" spans="2:13" ht="11.1" customHeight="1">
      <c r="B113" s="405"/>
      <c r="C113" s="390" t="s">
        <v>658</v>
      </c>
      <c r="D113" s="431"/>
      <c r="E113" s="430" t="s">
        <v>659</v>
      </c>
      <c r="F113" s="408"/>
      <c r="G113" s="395" t="s">
        <v>660</v>
      </c>
      <c r="H113" s="417"/>
      <c r="I113" s="418"/>
      <c r="J113" s="411">
        <f>I113*H113</f>
        <v>0</v>
      </c>
      <c r="K113" s="412">
        <f>IF(J$116=0,0,100*J113/J$116)</f>
        <v>0</v>
      </c>
      <c r="L113" s="379"/>
    </row>
    <row r="114" spans="2:13" ht="11.1" customHeight="1">
      <c r="B114" s="405"/>
      <c r="C114" s="461"/>
      <c r="D114" s="431"/>
      <c r="E114" s="430" t="s">
        <v>661</v>
      </c>
      <c r="F114" s="408"/>
      <c r="G114" s="395"/>
      <c r="H114" s="417"/>
      <c r="I114" s="418"/>
      <c r="J114" s="411">
        <f>I114*H114</f>
        <v>0</v>
      </c>
      <c r="K114" s="412">
        <f>IF(J$116=0,0,100*J114/J$116)</f>
        <v>0</v>
      </c>
      <c r="L114" s="462"/>
    </row>
    <row r="115" spans="2:13" ht="11.1" customHeight="1">
      <c r="B115" s="405"/>
      <c r="C115" s="461"/>
      <c r="D115" s="442"/>
      <c r="E115" s="433" t="s">
        <v>606</v>
      </c>
      <c r="F115" s="356"/>
      <c r="G115" s="463"/>
      <c r="H115" s="464"/>
      <c r="I115" s="465"/>
      <c r="J115" s="466"/>
      <c r="K115" s="467"/>
      <c r="L115" s="468"/>
    </row>
    <row r="116" spans="2:13" ht="11.1" customHeight="1">
      <c r="B116" s="405"/>
      <c r="C116" s="469"/>
      <c r="D116" s="470"/>
      <c r="E116" s="435"/>
      <c r="F116" s="364"/>
      <c r="G116" s="463"/>
      <c r="H116" s="464"/>
      <c r="I116" s="465"/>
      <c r="J116" s="471">
        <f>ROUND(SUM(J111:J114),2)</f>
        <v>10552.4</v>
      </c>
      <c r="K116" s="404" t="s">
        <v>560</v>
      </c>
      <c r="L116" s="369">
        <f>IF(J$334=0,0,100*J116/J$334)</f>
        <v>8.2175986224362934</v>
      </c>
      <c r="M116" s="472"/>
    </row>
    <row r="117" spans="2:13" ht="11.1" customHeight="1">
      <c r="B117" s="405"/>
      <c r="C117" s="461"/>
      <c r="D117" s="442"/>
      <c r="E117" s="430" t="s">
        <v>662</v>
      </c>
      <c r="F117" s="408"/>
      <c r="G117" s="395" t="s">
        <v>563</v>
      </c>
      <c r="H117" s="417"/>
      <c r="I117" s="418"/>
      <c r="J117" s="411">
        <f t="shared" ref="J117:J125" si="12">I117*H117</f>
        <v>0</v>
      </c>
      <c r="K117" s="412">
        <f t="shared" ref="K117:K125" si="13">IF(J$127=0,0,100*J117/J$127)</f>
        <v>0</v>
      </c>
      <c r="L117" s="379"/>
    </row>
    <row r="118" spans="2:13" ht="11.1" customHeight="1">
      <c r="B118" s="380" t="s">
        <v>663</v>
      </c>
      <c r="C118" s="461"/>
      <c r="D118" s="442"/>
      <c r="E118" s="430" t="s">
        <v>664</v>
      </c>
      <c r="F118" s="408"/>
      <c r="G118" s="395" t="s">
        <v>563</v>
      </c>
      <c r="H118" s="417"/>
      <c r="I118" s="418"/>
      <c r="J118" s="411">
        <f t="shared" si="12"/>
        <v>0</v>
      </c>
      <c r="K118" s="412">
        <f t="shared" si="13"/>
        <v>0</v>
      </c>
      <c r="L118" s="379"/>
    </row>
    <row r="119" spans="2:13" ht="11.1" customHeight="1">
      <c r="B119" s="380" t="s">
        <v>665</v>
      </c>
      <c r="C119" s="461"/>
      <c r="D119" s="442"/>
      <c r="E119" s="430" t="s">
        <v>666</v>
      </c>
      <c r="F119" s="408"/>
      <c r="G119" s="395" t="s">
        <v>563</v>
      </c>
      <c r="H119" s="417"/>
      <c r="I119" s="418"/>
      <c r="J119" s="411">
        <f t="shared" si="12"/>
        <v>0</v>
      </c>
      <c r="K119" s="412">
        <f t="shared" si="13"/>
        <v>0</v>
      </c>
      <c r="L119" s="379"/>
    </row>
    <row r="120" spans="2:13" ht="11.1" customHeight="1">
      <c r="B120" s="380" t="s">
        <v>548</v>
      </c>
      <c r="C120" s="419" t="s">
        <v>667</v>
      </c>
      <c r="D120" s="431"/>
      <c r="E120" s="430" t="s">
        <v>668</v>
      </c>
      <c r="F120" s="408"/>
      <c r="G120" s="395" t="s">
        <v>563</v>
      </c>
      <c r="H120" s="417"/>
      <c r="I120" s="418"/>
      <c r="J120" s="411">
        <f t="shared" si="12"/>
        <v>0</v>
      </c>
      <c r="K120" s="412">
        <f t="shared" si="13"/>
        <v>0</v>
      </c>
      <c r="L120" s="379"/>
    </row>
    <row r="121" spans="2:13" ht="11.1" customHeight="1">
      <c r="B121" s="380" t="s">
        <v>669</v>
      </c>
      <c r="C121" s="419"/>
      <c r="D121" s="431" t="s">
        <v>670</v>
      </c>
      <c r="E121" s="430" t="s">
        <v>671</v>
      </c>
      <c r="F121" s="408"/>
      <c r="G121" s="395" t="s">
        <v>563</v>
      </c>
      <c r="H121" s="417"/>
      <c r="I121" s="418"/>
      <c r="J121" s="411">
        <f t="shared" si="12"/>
        <v>0</v>
      </c>
      <c r="K121" s="412">
        <f t="shared" si="13"/>
        <v>0</v>
      </c>
      <c r="L121" s="379"/>
    </row>
    <row r="122" spans="2:13" ht="11.1" customHeight="1">
      <c r="B122" s="380" t="s">
        <v>672</v>
      </c>
      <c r="C122" s="419"/>
      <c r="D122" s="432"/>
      <c r="E122" s="430" t="s">
        <v>673</v>
      </c>
      <c r="F122" s="408"/>
      <c r="G122" s="395" t="s">
        <v>563</v>
      </c>
      <c r="H122" s="417"/>
      <c r="I122" s="418"/>
      <c r="J122" s="411">
        <f t="shared" si="12"/>
        <v>0</v>
      </c>
      <c r="K122" s="412">
        <f t="shared" si="13"/>
        <v>0</v>
      </c>
      <c r="L122" s="379"/>
    </row>
    <row r="123" spans="2:13" ht="11.1" customHeight="1">
      <c r="B123" s="380"/>
      <c r="C123" s="419"/>
      <c r="D123" s="432"/>
      <c r="E123" s="430" t="s">
        <v>674</v>
      </c>
      <c r="F123" s="408"/>
      <c r="G123" s="395" t="s">
        <v>563</v>
      </c>
      <c r="H123" s="417"/>
      <c r="I123" s="418"/>
      <c r="J123" s="411">
        <f t="shared" si="12"/>
        <v>0</v>
      </c>
      <c r="K123" s="412">
        <f t="shared" si="13"/>
        <v>0</v>
      </c>
      <c r="L123" s="379"/>
    </row>
    <row r="124" spans="2:13" ht="11.1" customHeight="1">
      <c r="B124" s="380"/>
      <c r="C124" s="419"/>
      <c r="D124" s="432"/>
      <c r="E124" s="430" t="s">
        <v>675</v>
      </c>
      <c r="F124" s="408"/>
      <c r="G124" s="395" t="s">
        <v>563</v>
      </c>
      <c r="H124" s="417"/>
      <c r="I124" s="418"/>
      <c r="J124" s="411">
        <f t="shared" si="12"/>
        <v>0</v>
      </c>
      <c r="K124" s="412">
        <f t="shared" si="13"/>
        <v>0</v>
      </c>
      <c r="L124" s="379"/>
    </row>
    <row r="125" spans="2:13" ht="11.1" customHeight="1">
      <c r="B125" s="380"/>
      <c r="C125" s="473"/>
      <c r="D125" s="442"/>
      <c r="E125" s="430" t="s">
        <v>676</v>
      </c>
      <c r="F125" s="408"/>
      <c r="G125" s="395"/>
      <c r="H125" s="417"/>
      <c r="I125" s="418"/>
      <c r="J125" s="411">
        <f t="shared" si="12"/>
        <v>0</v>
      </c>
      <c r="K125" s="412">
        <f t="shared" si="13"/>
        <v>0</v>
      </c>
      <c r="L125" s="379"/>
    </row>
    <row r="126" spans="2:13" ht="11.1" customHeight="1">
      <c r="B126" s="380"/>
      <c r="C126" s="419"/>
      <c r="D126" s="431"/>
      <c r="E126" s="433" t="s">
        <v>606</v>
      </c>
      <c r="F126" s="356"/>
      <c r="G126" s="399"/>
      <c r="H126" s="400"/>
      <c r="I126" s="401"/>
      <c r="J126" s="377"/>
      <c r="K126" s="378"/>
      <c r="L126" s="402"/>
    </row>
    <row r="127" spans="2:13" ht="11.1" customHeight="1">
      <c r="B127" s="474"/>
      <c r="C127" s="427"/>
      <c r="D127" s="434"/>
      <c r="E127" s="435"/>
      <c r="F127" s="364"/>
      <c r="G127" s="475"/>
      <c r="H127" s="448"/>
      <c r="I127" s="476"/>
      <c r="J127" s="453">
        <f>ROUND(SUM(J117:J125),2)</f>
        <v>0</v>
      </c>
      <c r="K127" s="404" t="s">
        <v>560</v>
      </c>
      <c r="L127" s="369">
        <f>IF(J$334=0,0,100*J127/J$334)</f>
        <v>0</v>
      </c>
    </row>
    <row r="128" spans="2:13" ht="11.1" customHeight="1">
      <c r="B128" s="477">
        <v>5</v>
      </c>
      <c r="C128" s="371"/>
      <c r="D128" s="406"/>
      <c r="E128" s="407" t="s">
        <v>677</v>
      </c>
      <c r="F128" s="408"/>
      <c r="G128" s="383" t="s">
        <v>563</v>
      </c>
      <c r="H128" s="444"/>
      <c r="I128" s="384"/>
      <c r="J128" s="411">
        <f>H128*I128</f>
        <v>0</v>
      </c>
      <c r="K128" s="412">
        <f>IF(J$133=0,0,100*J128/J$133)</f>
        <v>0</v>
      </c>
      <c r="L128" s="478"/>
    </row>
    <row r="129" spans="2:14" ht="11.1" customHeight="1">
      <c r="B129" s="479"/>
      <c r="C129" s="461"/>
      <c r="D129" s="480"/>
      <c r="E129" s="481" t="s">
        <v>678</v>
      </c>
      <c r="F129" s="364"/>
      <c r="G129" s="395" t="s">
        <v>563</v>
      </c>
      <c r="H129" s="417"/>
      <c r="I129" s="418"/>
      <c r="J129" s="411">
        <f>H129*I129</f>
        <v>0</v>
      </c>
      <c r="K129" s="412">
        <f>IF(J$133=0,0,100*J129/J$133)</f>
        <v>0</v>
      </c>
      <c r="L129" s="482"/>
    </row>
    <row r="130" spans="2:14" ht="11.1" customHeight="1">
      <c r="B130" s="380" t="s">
        <v>663</v>
      </c>
      <c r="C130" s="419" t="s">
        <v>679</v>
      </c>
      <c r="D130" s="480"/>
      <c r="E130" s="481" t="s">
        <v>680</v>
      </c>
      <c r="F130" s="364"/>
      <c r="G130" s="395"/>
      <c r="H130" s="417"/>
      <c r="I130" s="418"/>
      <c r="J130" s="411">
        <f>H130*I130</f>
        <v>0</v>
      </c>
      <c r="K130" s="412">
        <f>IF(J$133=0,0,100*J130/J$133)</f>
        <v>0</v>
      </c>
      <c r="L130" s="482"/>
    </row>
    <row r="131" spans="2:14" ht="11.1" customHeight="1">
      <c r="B131" s="380" t="s">
        <v>665</v>
      </c>
      <c r="C131" s="419"/>
      <c r="D131" s="413"/>
      <c r="E131" s="481"/>
      <c r="F131" s="364"/>
      <c r="G131" s="395"/>
      <c r="H131" s="417"/>
      <c r="I131" s="418"/>
      <c r="J131" s="411">
        <f>H131*I131</f>
        <v>0</v>
      </c>
      <c r="K131" s="412">
        <f>IF(J$133=0,0,100*J131/J$133)</f>
        <v>0</v>
      </c>
      <c r="L131" s="483"/>
    </row>
    <row r="132" spans="2:14" ht="11.1" customHeight="1">
      <c r="B132" s="380" t="s">
        <v>548</v>
      </c>
      <c r="C132" s="419"/>
      <c r="D132" s="413"/>
      <c r="E132" s="433" t="s">
        <v>606</v>
      </c>
      <c r="F132" s="356"/>
      <c r="G132" s="399"/>
      <c r="H132" s="400"/>
      <c r="I132" s="401"/>
      <c r="J132" s="377"/>
      <c r="K132" s="378"/>
      <c r="L132" s="402"/>
    </row>
    <row r="133" spans="2:14" ht="11.1" customHeight="1">
      <c r="B133" s="380" t="s">
        <v>669</v>
      </c>
      <c r="C133" s="419"/>
      <c r="D133" s="413"/>
      <c r="E133" s="435"/>
      <c r="F133" s="364"/>
      <c r="G133" s="399"/>
      <c r="H133" s="400"/>
      <c r="I133" s="401"/>
      <c r="J133" s="453">
        <f>ROUND(SUM(J128:J131),2)</f>
        <v>0</v>
      </c>
      <c r="K133" s="404" t="s">
        <v>560</v>
      </c>
      <c r="L133" s="369">
        <f>IF(J$334=0,0,100*J133/J$334)</f>
        <v>0</v>
      </c>
    </row>
    <row r="134" spans="2:14" ht="11.1" customHeight="1">
      <c r="B134" s="380" t="s">
        <v>672</v>
      </c>
      <c r="C134" s="371" t="s">
        <v>559</v>
      </c>
      <c r="D134" s="354"/>
      <c r="E134" s="373"/>
      <c r="F134" s="356"/>
      <c r="G134" s="399"/>
      <c r="H134" s="400"/>
      <c r="I134" s="401"/>
      <c r="J134" s="377"/>
      <c r="K134" s="455"/>
      <c r="L134" s="379"/>
    </row>
    <row r="135" spans="2:14" ht="11.1" customHeight="1">
      <c r="B135" s="380"/>
      <c r="C135" s="427"/>
      <c r="D135" s="362"/>
      <c r="E135" s="363"/>
      <c r="F135" s="364"/>
      <c r="G135" s="447"/>
      <c r="H135" s="448"/>
      <c r="I135" s="449"/>
      <c r="J135" s="403">
        <f>J133+J127+J116</f>
        <v>10552.4</v>
      </c>
      <c r="K135" s="484"/>
      <c r="L135" s="462"/>
    </row>
    <row r="136" spans="2:14" ht="11.1" customHeight="1">
      <c r="B136" s="370" t="s">
        <v>681</v>
      </c>
      <c r="C136" s="428"/>
      <c r="D136" s="429"/>
      <c r="E136" s="430" t="s">
        <v>682</v>
      </c>
      <c r="F136" s="408"/>
      <c r="G136" s="395" t="s">
        <v>563</v>
      </c>
      <c r="H136" s="417"/>
      <c r="I136" s="418"/>
      <c r="J136" s="411">
        <f t="shared" ref="J136:J142" si="14">I136*H136</f>
        <v>0</v>
      </c>
      <c r="K136" s="485">
        <f t="shared" ref="K136:K142" si="15">IF(J$144=0,0,100*J136/J$144)</f>
        <v>0</v>
      </c>
      <c r="L136" s="379"/>
      <c r="N136" s="854"/>
    </row>
    <row r="137" spans="2:14" ht="11.1" customHeight="1">
      <c r="B137" s="380"/>
      <c r="C137" s="419"/>
      <c r="D137" s="431"/>
      <c r="E137" s="430" t="s">
        <v>683</v>
      </c>
      <c r="F137" s="408"/>
      <c r="G137" s="395" t="s">
        <v>563</v>
      </c>
      <c r="H137" s="417"/>
      <c r="I137" s="418"/>
      <c r="J137" s="411">
        <f t="shared" si="14"/>
        <v>0</v>
      </c>
      <c r="K137" s="412">
        <f t="shared" si="15"/>
        <v>0</v>
      </c>
      <c r="L137" s="379"/>
      <c r="N137" s="854"/>
    </row>
    <row r="138" spans="2:14" ht="11.1" customHeight="1">
      <c r="B138" s="380"/>
      <c r="C138" s="390" t="s">
        <v>684</v>
      </c>
      <c r="D138" s="486" t="s">
        <v>685</v>
      </c>
      <c r="E138" s="430" t="s">
        <v>686</v>
      </c>
      <c r="F138" s="408"/>
      <c r="G138" s="395" t="s">
        <v>563</v>
      </c>
      <c r="H138" s="417"/>
      <c r="I138" s="418"/>
      <c r="J138" s="411">
        <f t="shared" si="14"/>
        <v>0</v>
      </c>
      <c r="K138" s="412">
        <f t="shared" si="15"/>
        <v>0</v>
      </c>
      <c r="L138" s="379"/>
    </row>
    <row r="139" spans="2:14" ht="11.1" customHeight="1">
      <c r="B139" s="380"/>
      <c r="C139" s="419"/>
      <c r="D139" s="486" t="s">
        <v>687</v>
      </c>
      <c r="E139" s="430" t="s">
        <v>688</v>
      </c>
      <c r="F139" s="408"/>
      <c r="G139" s="395" t="s">
        <v>563</v>
      </c>
      <c r="H139" s="417"/>
      <c r="I139" s="418"/>
      <c r="J139" s="411">
        <f t="shared" si="14"/>
        <v>0</v>
      </c>
      <c r="K139" s="412">
        <f t="shared" si="15"/>
        <v>0</v>
      </c>
      <c r="L139" s="379"/>
    </row>
    <row r="140" spans="2:14" ht="11.1" customHeight="1">
      <c r="B140" s="380"/>
      <c r="C140" s="419"/>
      <c r="D140" s="431"/>
      <c r="E140" s="430" t="s">
        <v>689</v>
      </c>
      <c r="F140" s="408"/>
      <c r="G140" s="395" t="s">
        <v>563</v>
      </c>
      <c r="H140" s="417"/>
      <c r="I140" s="418"/>
      <c r="J140" s="411">
        <f t="shared" si="14"/>
        <v>0</v>
      </c>
      <c r="K140" s="412">
        <f t="shared" si="15"/>
        <v>0</v>
      </c>
      <c r="L140" s="379"/>
    </row>
    <row r="141" spans="2:14" ht="11.1" customHeight="1">
      <c r="B141" s="380"/>
      <c r="C141" s="473"/>
      <c r="D141" s="442"/>
      <c r="E141" s="430" t="s">
        <v>690</v>
      </c>
      <c r="F141" s="408"/>
      <c r="G141" s="395" t="s">
        <v>563</v>
      </c>
      <c r="H141" s="417"/>
      <c r="I141" s="418"/>
      <c r="J141" s="411">
        <f t="shared" si="14"/>
        <v>0</v>
      </c>
      <c r="K141" s="412">
        <f t="shared" si="15"/>
        <v>0</v>
      </c>
      <c r="L141" s="379"/>
    </row>
    <row r="142" spans="2:14" ht="11.1" customHeight="1">
      <c r="B142" s="414"/>
      <c r="C142" s="473"/>
      <c r="D142" s="442"/>
      <c r="E142" s="430" t="s">
        <v>691</v>
      </c>
      <c r="F142" s="408"/>
      <c r="G142" s="395"/>
      <c r="H142" s="417"/>
      <c r="I142" s="418"/>
      <c r="J142" s="411">
        <f t="shared" si="14"/>
        <v>0</v>
      </c>
      <c r="K142" s="412">
        <f t="shared" si="15"/>
        <v>0</v>
      </c>
      <c r="L142" s="379"/>
    </row>
    <row r="143" spans="2:14" ht="11.1" customHeight="1">
      <c r="B143" s="380"/>
      <c r="C143" s="419"/>
      <c r="D143" s="431"/>
      <c r="E143" s="433" t="s">
        <v>606</v>
      </c>
      <c r="F143" s="356"/>
      <c r="G143" s="399"/>
      <c r="H143" s="400"/>
      <c r="I143" s="401"/>
      <c r="J143" s="377"/>
      <c r="K143" s="378"/>
      <c r="L143" s="402"/>
    </row>
    <row r="144" spans="2:14" ht="11.1" customHeight="1">
      <c r="B144" s="380"/>
      <c r="C144" s="427"/>
      <c r="D144" s="434"/>
      <c r="E144" s="435"/>
      <c r="F144" s="364"/>
      <c r="G144" s="447"/>
      <c r="H144" s="448"/>
      <c r="I144" s="449"/>
      <c r="J144" s="453">
        <f>ROUND(SUM(J136:J142),2)</f>
        <v>0</v>
      </c>
      <c r="K144" s="404" t="s">
        <v>560</v>
      </c>
      <c r="L144" s="369">
        <f>IF(J$334=0,0,100*J144/J$334)</f>
        <v>0</v>
      </c>
    </row>
    <row r="145" spans="2:12" ht="11.1" customHeight="1">
      <c r="B145" s="380"/>
      <c r="C145" s="419"/>
      <c r="D145" s="431"/>
      <c r="E145" s="481" t="s">
        <v>692</v>
      </c>
      <c r="F145" s="364"/>
      <c r="G145" s="487" t="s">
        <v>563</v>
      </c>
      <c r="H145" s="409"/>
      <c r="I145" s="410"/>
      <c r="J145" s="411">
        <f t="shared" ref="J145:J152" si="16">I145*H145</f>
        <v>0</v>
      </c>
      <c r="K145" s="412">
        <f t="shared" ref="K145:K152" si="17">IF(J$154=0,0,100*J145/J$154)</f>
        <v>0</v>
      </c>
      <c r="L145" s="488"/>
    </row>
    <row r="146" spans="2:12" ht="11.1" customHeight="1">
      <c r="B146" s="489"/>
      <c r="C146" s="419"/>
      <c r="D146" s="431"/>
      <c r="E146" s="481" t="s">
        <v>693</v>
      </c>
      <c r="F146" s="364"/>
      <c r="G146" s="487" t="s">
        <v>563</v>
      </c>
      <c r="H146" s="409"/>
      <c r="I146" s="410"/>
      <c r="J146" s="411">
        <f t="shared" si="16"/>
        <v>0</v>
      </c>
      <c r="K146" s="412">
        <f t="shared" si="17"/>
        <v>0</v>
      </c>
      <c r="L146" s="488"/>
    </row>
    <row r="147" spans="2:12" ht="11.1" customHeight="1">
      <c r="B147" s="489"/>
      <c r="C147" s="419"/>
      <c r="D147" s="431"/>
      <c r="E147" s="481" t="s">
        <v>694</v>
      </c>
      <c r="F147" s="364"/>
      <c r="G147" s="487" t="s">
        <v>563</v>
      </c>
      <c r="H147" s="409"/>
      <c r="I147" s="410"/>
      <c r="J147" s="411">
        <f t="shared" si="16"/>
        <v>0</v>
      </c>
      <c r="K147" s="412">
        <f t="shared" si="17"/>
        <v>0</v>
      </c>
      <c r="L147" s="488"/>
    </row>
    <row r="148" spans="2:12" ht="11.1" customHeight="1">
      <c r="B148" s="414"/>
      <c r="C148" s="419"/>
      <c r="D148" s="431"/>
      <c r="E148" s="481" t="s">
        <v>695</v>
      </c>
      <c r="F148" s="364"/>
      <c r="G148" s="487" t="s">
        <v>563</v>
      </c>
      <c r="H148" s="409"/>
      <c r="I148" s="410"/>
      <c r="J148" s="411">
        <f t="shared" si="16"/>
        <v>0</v>
      </c>
      <c r="K148" s="412">
        <f t="shared" si="17"/>
        <v>0</v>
      </c>
      <c r="L148" s="488"/>
    </row>
    <row r="149" spans="2:12" ht="11.1" customHeight="1">
      <c r="B149" s="380"/>
      <c r="C149" s="419" t="s">
        <v>696</v>
      </c>
      <c r="D149" s="431" t="s">
        <v>697</v>
      </c>
      <c r="E149" s="481" t="s">
        <v>698</v>
      </c>
      <c r="F149" s="364"/>
      <c r="G149" s="487" t="s">
        <v>563</v>
      </c>
      <c r="H149" s="409"/>
      <c r="I149" s="410"/>
      <c r="J149" s="411">
        <f t="shared" si="16"/>
        <v>0</v>
      </c>
      <c r="K149" s="412">
        <f t="shared" si="17"/>
        <v>0</v>
      </c>
      <c r="L149" s="488"/>
    </row>
    <row r="150" spans="2:12" ht="11.1" customHeight="1">
      <c r="B150" s="380"/>
      <c r="C150" s="419"/>
      <c r="D150" s="431"/>
      <c r="E150" s="481" t="s">
        <v>699</v>
      </c>
      <c r="F150" s="364"/>
      <c r="G150" s="487" t="s">
        <v>660</v>
      </c>
      <c r="H150" s="409"/>
      <c r="I150" s="410"/>
      <c r="J150" s="411">
        <f t="shared" si="16"/>
        <v>0</v>
      </c>
      <c r="K150" s="412">
        <f t="shared" si="17"/>
        <v>0</v>
      </c>
      <c r="L150" s="488"/>
    </row>
    <row r="151" spans="2:12" ht="11.1" customHeight="1">
      <c r="B151" s="380"/>
      <c r="C151" s="419"/>
      <c r="D151" s="431"/>
      <c r="E151" s="481" t="s">
        <v>700</v>
      </c>
      <c r="F151" s="364"/>
      <c r="G151" s="487" t="s">
        <v>563</v>
      </c>
      <c r="H151" s="409"/>
      <c r="I151" s="410"/>
      <c r="J151" s="411">
        <f t="shared" si="16"/>
        <v>0</v>
      </c>
      <c r="K151" s="412">
        <f t="shared" si="17"/>
        <v>0</v>
      </c>
      <c r="L151" s="488"/>
    </row>
    <row r="152" spans="2:12" ht="11.1" customHeight="1">
      <c r="B152" s="414"/>
      <c r="C152" s="419"/>
      <c r="D152" s="431"/>
      <c r="E152" s="481" t="s">
        <v>701</v>
      </c>
      <c r="F152" s="364"/>
      <c r="G152" s="487"/>
      <c r="H152" s="409"/>
      <c r="I152" s="410"/>
      <c r="J152" s="411">
        <f t="shared" si="16"/>
        <v>0</v>
      </c>
      <c r="K152" s="412">
        <f t="shared" si="17"/>
        <v>0</v>
      </c>
      <c r="L152" s="490"/>
    </row>
    <row r="153" spans="2:12" ht="11.1" customHeight="1">
      <c r="B153" s="414"/>
      <c r="C153" s="419"/>
      <c r="D153" s="431"/>
      <c r="E153" s="433" t="s">
        <v>606</v>
      </c>
      <c r="F153" s="356"/>
      <c r="G153" s="399"/>
      <c r="H153" s="400"/>
      <c r="I153" s="401"/>
      <c r="J153" s="471"/>
      <c r="K153" s="491"/>
      <c r="L153" s="492"/>
    </row>
    <row r="154" spans="2:12" ht="11.1" customHeight="1">
      <c r="B154" s="414"/>
      <c r="C154" s="419"/>
      <c r="D154" s="431"/>
      <c r="E154" s="435"/>
      <c r="F154" s="364"/>
      <c r="G154" s="399"/>
      <c r="H154" s="400"/>
      <c r="I154" s="401"/>
      <c r="J154" s="453">
        <f>ROUND(SUM(J145:J152),2)</f>
        <v>0</v>
      </c>
      <c r="K154" s="404" t="s">
        <v>560</v>
      </c>
      <c r="L154" s="369">
        <f>IF(J$334=0,0,100*J154/J$334)</f>
        <v>0</v>
      </c>
    </row>
    <row r="155" spans="2:12" ht="11.1" customHeight="1">
      <c r="B155" s="493"/>
      <c r="C155" s="428"/>
      <c r="D155" s="429"/>
      <c r="E155" s="430" t="s">
        <v>692</v>
      </c>
      <c r="F155" s="408"/>
      <c r="G155" s="395" t="s">
        <v>563</v>
      </c>
      <c r="H155" s="417"/>
      <c r="I155" s="418"/>
      <c r="J155" s="411">
        <f t="shared" ref="J155:J160" si="18">I155*H155</f>
        <v>0</v>
      </c>
      <c r="K155" s="412">
        <f t="shared" ref="K155:K160" si="19">IF(J$162=0,0,100*J155/J$162)</f>
        <v>0</v>
      </c>
      <c r="L155" s="379"/>
    </row>
    <row r="156" spans="2:12" ht="11.1" customHeight="1">
      <c r="B156" s="414"/>
      <c r="C156" s="419"/>
      <c r="D156" s="431"/>
      <c r="E156" s="430" t="s">
        <v>693</v>
      </c>
      <c r="F156" s="408"/>
      <c r="G156" s="395" t="s">
        <v>563</v>
      </c>
      <c r="H156" s="417"/>
      <c r="I156" s="418"/>
      <c r="J156" s="411">
        <f t="shared" si="18"/>
        <v>0</v>
      </c>
      <c r="K156" s="412">
        <f t="shared" si="19"/>
        <v>0</v>
      </c>
      <c r="L156" s="379"/>
    </row>
    <row r="157" spans="2:12" ht="11.1" customHeight="1">
      <c r="B157" s="380" t="s">
        <v>702</v>
      </c>
      <c r="C157" s="390" t="s">
        <v>703</v>
      </c>
      <c r="D157" s="486" t="s">
        <v>685</v>
      </c>
      <c r="E157" s="430" t="s">
        <v>704</v>
      </c>
      <c r="F157" s="408"/>
      <c r="G157" s="395" t="s">
        <v>563</v>
      </c>
      <c r="H157" s="417"/>
      <c r="I157" s="418"/>
      <c r="J157" s="411">
        <f t="shared" si="18"/>
        <v>0</v>
      </c>
      <c r="K157" s="412">
        <f t="shared" si="19"/>
        <v>0</v>
      </c>
      <c r="L157" s="379"/>
    </row>
    <row r="158" spans="2:12" ht="11.1" customHeight="1">
      <c r="B158" s="380" t="s">
        <v>705</v>
      </c>
      <c r="C158" s="419"/>
      <c r="D158" s="486" t="s">
        <v>706</v>
      </c>
      <c r="E158" s="430" t="s">
        <v>707</v>
      </c>
      <c r="F158" s="408"/>
      <c r="G158" s="395" t="s">
        <v>563</v>
      </c>
      <c r="H158" s="417"/>
      <c r="I158" s="418"/>
      <c r="J158" s="411">
        <f t="shared" si="18"/>
        <v>0</v>
      </c>
      <c r="K158" s="412">
        <f t="shared" si="19"/>
        <v>0</v>
      </c>
      <c r="L158" s="379"/>
    </row>
    <row r="159" spans="2:12" ht="11.1" customHeight="1">
      <c r="B159" s="380" t="s">
        <v>708</v>
      </c>
      <c r="C159" s="419"/>
      <c r="D159" s="431"/>
      <c r="E159" s="430" t="s">
        <v>709</v>
      </c>
      <c r="F159" s="408"/>
      <c r="G159" s="395" t="s">
        <v>563</v>
      </c>
      <c r="H159" s="417"/>
      <c r="I159" s="418"/>
      <c r="J159" s="411">
        <f t="shared" si="18"/>
        <v>0</v>
      </c>
      <c r="K159" s="412">
        <f t="shared" si="19"/>
        <v>0</v>
      </c>
      <c r="L159" s="379"/>
    </row>
    <row r="160" spans="2:12" ht="11.1" customHeight="1">
      <c r="B160" s="414"/>
      <c r="C160" s="419"/>
      <c r="D160" s="431"/>
      <c r="E160" s="407" t="s">
        <v>710</v>
      </c>
      <c r="F160" s="408"/>
      <c r="G160" s="395"/>
      <c r="H160" s="417"/>
      <c r="I160" s="418"/>
      <c r="J160" s="411">
        <f t="shared" si="18"/>
        <v>0</v>
      </c>
      <c r="K160" s="412">
        <f t="shared" si="19"/>
        <v>0</v>
      </c>
      <c r="L160" s="379"/>
    </row>
    <row r="161" spans="2:12" ht="11.1" customHeight="1">
      <c r="B161" s="380"/>
      <c r="C161" s="419"/>
      <c r="D161" s="431"/>
      <c r="E161" s="433" t="s">
        <v>606</v>
      </c>
      <c r="F161" s="356"/>
      <c r="G161" s="399"/>
      <c r="H161" s="400"/>
      <c r="I161" s="401"/>
      <c r="J161" s="377"/>
      <c r="K161" s="378"/>
      <c r="L161" s="402"/>
    </row>
    <row r="162" spans="2:12" ht="11.1" customHeight="1">
      <c r="B162" s="380" t="s">
        <v>711</v>
      </c>
      <c r="C162" s="427"/>
      <c r="D162" s="434"/>
      <c r="E162" s="435"/>
      <c r="F162" s="364"/>
      <c r="G162" s="447"/>
      <c r="H162" s="448"/>
      <c r="I162" s="449"/>
      <c r="J162" s="453">
        <f>ROUND(SUM(J155:J160),2)</f>
        <v>0</v>
      </c>
      <c r="K162" s="404" t="s">
        <v>560</v>
      </c>
      <c r="L162" s="369">
        <f>IF(J$334=0,0,100*J162/J$334)</f>
        <v>0</v>
      </c>
    </row>
    <row r="163" spans="2:12" ht="11.1" customHeight="1">
      <c r="B163" s="380" t="s">
        <v>712</v>
      </c>
      <c r="C163" s="428"/>
      <c r="D163" s="429"/>
      <c r="E163" s="430" t="s">
        <v>713</v>
      </c>
      <c r="F163" s="408"/>
      <c r="G163" s="395" t="s">
        <v>563</v>
      </c>
      <c r="H163" s="417"/>
      <c r="I163" s="418"/>
      <c r="J163" s="411">
        <f>I163*H163</f>
        <v>0</v>
      </c>
      <c r="K163" s="412">
        <f>IF(J$169=0,0,100*J163/J$169)</f>
        <v>0</v>
      </c>
      <c r="L163" s="379"/>
    </row>
    <row r="164" spans="2:12" ht="11.1" customHeight="1">
      <c r="B164" s="380" t="s">
        <v>708</v>
      </c>
      <c r="C164" s="419"/>
      <c r="D164" s="431"/>
      <c r="E164" s="430" t="s">
        <v>714</v>
      </c>
      <c r="F164" s="408"/>
      <c r="G164" s="395" t="s">
        <v>563</v>
      </c>
      <c r="H164" s="417"/>
      <c r="I164" s="418"/>
      <c r="J164" s="411">
        <f>I164*H164</f>
        <v>0</v>
      </c>
      <c r="K164" s="412">
        <f>IF(J$169=0,0,100*J164/J$169)</f>
        <v>0</v>
      </c>
      <c r="L164" s="379"/>
    </row>
    <row r="165" spans="2:12" ht="11.1" customHeight="1">
      <c r="B165" s="380"/>
      <c r="C165" s="390" t="s">
        <v>715</v>
      </c>
      <c r="D165" s="486" t="s">
        <v>716</v>
      </c>
      <c r="E165" s="430" t="s">
        <v>717</v>
      </c>
      <c r="F165" s="408"/>
      <c r="G165" s="395" t="s">
        <v>563</v>
      </c>
      <c r="H165" s="417"/>
      <c r="I165" s="418"/>
      <c r="J165" s="411">
        <f>I165*H165</f>
        <v>0</v>
      </c>
      <c r="K165" s="412">
        <f>IF(J$169=0,0,100*J165/J$169)</f>
        <v>0</v>
      </c>
      <c r="L165" s="379"/>
    </row>
    <row r="166" spans="2:12" ht="11.1" customHeight="1">
      <c r="B166" s="380" t="s">
        <v>718</v>
      </c>
      <c r="C166" s="390"/>
      <c r="D166" s="486"/>
      <c r="E166" s="430" t="s">
        <v>719</v>
      </c>
      <c r="F166" s="408"/>
      <c r="G166" s="395" t="s">
        <v>563</v>
      </c>
      <c r="H166" s="417"/>
      <c r="I166" s="418"/>
      <c r="J166" s="411">
        <f>I166*H166</f>
        <v>0</v>
      </c>
      <c r="K166" s="412">
        <f>IF(J$169=0,0,100*J166/J$169)</f>
        <v>0</v>
      </c>
      <c r="L166" s="379"/>
    </row>
    <row r="167" spans="2:12" ht="11.1" customHeight="1">
      <c r="B167" s="380" t="s">
        <v>720</v>
      </c>
      <c r="C167" s="419"/>
      <c r="D167" s="431"/>
      <c r="E167" s="407" t="s">
        <v>721</v>
      </c>
      <c r="F167" s="408"/>
      <c r="G167" s="395" t="s">
        <v>563</v>
      </c>
      <c r="H167" s="417"/>
      <c r="I167" s="418"/>
      <c r="J167" s="411">
        <f>I167*H167</f>
        <v>0</v>
      </c>
      <c r="K167" s="412">
        <f>IF(J$169=0,0,100*J167/J$169)</f>
        <v>0</v>
      </c>
      <c r="L167" s="379"/>
    </row>
    <row r="168" spans="2:12" ht="11.1" customHeight="1">
      <c r="B168" s="380" t="s">
        <v>722</v>
      </c>
      <c r="C168" s="419"/>
      <c r="D168" s="431"/>
      <c r="E168" s="433" t="s">
        <v>606</v>
      </c>
      <c r="F168" s="356"/>
      <c r="G168" s="399"/>
      <c r="H168" s="400"/>
      <c r="I168" s="401"/>
      <c r="J168" s="377"/>
      <c r="K168" s="378"/>
      <c r="L168" s="402"/>
    </row>
    <row r="169" spans="2:12" ht="11.1" customHeight="1">
      <c r="B169" s="380"/>
      <c r="C169" s="427"/>
      <c r="D169" s="434"/>
      <c r="E169" s="435"/>
      <c r="F169" s="364"/>
      <c r="G169" s="399"/>
      <c r="H169" s="400"/>
      <c r="I169" s="401"/>
      <c r="J169" s="453">
        <f>ROUND(SUM(J163:J167),2)</f>
        <v>0</v>
      </c>
      <c r="K169" s="404" t="s">
        <v>560</v>
      </c>
      <c r="L169" s="369">
        <f>IF(J$334=0,0,100*J169/J$334)</f>
        <v>0</v>
      </c>
    </row>
    <row r="170" spans="2:12" ht="11.1" customHeight="1">
      <c r="B170" s="380" t="s">
        <v>548</v>
      </c>
      <c r="C170" s="428"/>
      <c r="D170" s="429"/>
      <c r="E170" s="430" t="s">
        <v>723</v>
      </c>
      <c r="F170" s="408"/>
      <c r="G170" s="395" t="s">
        <v>563</v>
      </c>
      <c r="H170" s="417"/>
      <c r="I170" s="418"/>
      <c r="J170" s="411">
        <f t="shared" ref="J170:J184" si="20">I170*H170</f>
        <v>0</v>
      </c>
      <c r="K170" s="412">
        <f t="shared" ref="K170:K184" si="21">IF(J$186=0,0,100*J170/J$186)</f>
        <v>0</v>
      </c>
      <c r="L170" s="379"/>
    </row>
    <row r="171" spans="2:12" ht="11.1" customHeight="1">
      <c r="B171" s="380"/>
      <c r="C171" s="419"/>
      <c r="D171" s="431"/>
      <c r="E171" s="430" t="s">
        <v>724</v>
      </c>
      <c r="F171" s="408"/>
      <c r="G171" s="395" t="s">
        <v>563</v>
      </c>
      <c r="H171" s="417"/>
      <c r="I171" s="418"/>
      <c r="J171" s="411">
        <f>I171*H171</f>
        <v>0</v>
      </c>
      <c r="K171" s="412">
        <f t="shared" si="21"/>
        <v>0</v>
      </c>
      <c r="L171" s="379"/>
    </row>
    <row r="172" spans="2:12" ht="11.1" customHeight="1">
      <c r="B172" s="380" t="s">
        <v>725</v>
      </c>
      <c r="C172" s="419"/>
      <c r="D172" s="431"/>
      <c r="E172" s="430" t="s">
        <v>726</v>
      </c>
      <c r="F172" s="408"/>
      <c r="G172" s="395" t="s">
        <v>563</v>
      </c>
      <c r="H172" s="417"/>
      <c r="I172" s="418"/>
      <c r="J172" s="411">
        <f t="shared" si="20"/>
        <v>0</v>
      </c>
      <c r="K172" s="412">
        <f t="shared" si="21"/>
        <v>0</v>
      </c>
      <c r="L172" s="379"/>
    </row>
    <row r="173" spans="2:12" ht="11.1" customHeight="1">
      <c r="B173" s="380" t="s">
        <v>577</v>
      </c>
      <c r="C173" s="419"/>
      <c r="D173" s="431"/>
      <c r="E173" s="430" t="s">
        <v>727</v>
      </c>
      <c r="F173" s="408"/>
      <c r="G173" s="395" t="s">
        <v>563</v>
      </c>
      <c r="H173" s="417"/>
      <c r="I173" s="418"/>
      <c r="J173" s="411">
        <f t="shared" si="20"/>
        <v>0</v>
      </c>
      <c r="K173" s="412">
        <f t="shared" si="21"/>
        <v>0</v>
      </c>
      <c r="L173" s="379"/>
    </row>
    <row r="174" spans="2:12" ht="11.1" customHeight="1">
      <c r="B174" s="380"/>
      <c r="C174" s="419"/>
      <c r="D174" s="431"/>
      <c r="E174" s="430" t="s">
        <v>728</v>
      </c>
      <c r="F174" s="408"/>
      <c r="G174" s="395" t="s">
        <v>563</v>
      </c>
      <c r="H174" s="417"/>
      <c r="I174" s="418"/>
      <c r="J174" s="411">
        <f t="shared" si="20"/>
        <v>0</v>
      </c>
      <c r="K174" s="412">
        <f t="shared" si="21"/>
        <v>0</v>
      </c>
      <c r="L174" s="379"/>
    </row>
    <row r="175" spans="2:12" ht="11.1" customHeight="1">
      <c r="B175" s="380"/>
      <c r="C175" s="419"/>
      <c r="D175" s="431"/>
      <c r="E175" s="430" t="s">
        <v>729</v>
      </c>
      <c r="F175" s="408"/>
      <c r="G175" s="395" t="s">
        <v>563</v>
      </c>
      <c r="H175" s="417"/>
      <c r="I175" s="418"/>
      <c r="J175" s="411">
        <f t="shared" si="20"/>
        <v>0</v>
      </c>
      <c r="K175" s="412">
        <f t="shared" si="21"/>
        <v>0</v>
      </c>
      <c r="L175" s="379"/>
    </row>
    <row r="176" spans="2:12" ht="11.1" customHeight="1">
      <c r="B176" s="494"/>
      <c r="C176" s="419"/>
      <c r="D176" s="431"/>
      <c r="E176" s="430" t="s">
        <v>730</v>
      </c>
      <c r="F176" s="408"/>
      <c r="G176" s="395" t="s">
        <v>563</v>
      </c>
      <c r="H176" s="417"/>
      <c r="I176" s="418"/>
      <c r="J176" s="411">
        <f t="shared" si="20"/>
        <v>0</v>
      </c>
      <c r="K176" s="412">
        <f t="shared" si="21"/>
        <v>0</v>
      </c>
      <c r="L176" s="379"/>
    </row>
    <row r="177" spans="2:12" ht="11.1" customHeight="1">
      <c r="B177" s="494"/>
      <c r="C177" s="390" t="s">
        <v>731</v>
      </c>
      <c r="D177" s="486" t="s">
        <v>732</v>
      </c>
      <c r="E177" s="430" t="s">
        <v>733</v>
      </c>
      <c r="F177" s="408"/>
      <c r="G177" s="395" t="s">
        <v>563</v>
      </c>
      <c r="H177" s="417"/>
      <c r="I177" s="418"/>
      <c r="J177" s="411">
        <f t="shared" si="20"/>
        <v>0</v>
      </c>
      <c r="K177" s="412">
        <f t="shared" si="21"/>
        <v>0</v>
      </c>
      <c r="L177" s="379"/>
    </row>
    <row r="178" spans="2:12" ht="11.1" customHeight="1">
      <c r="B178" s="494"/>
      <c r="C178" s="419"/>
      <c r="D178" s="431"/>
      <c r="E178" s="430" t="s">
        <v>734</v>
      </c>
      <c r="F178" s="408"/>
      <c r="G178" s="395" t="s">
        <v>563</v>
      </c>
      <c r="H178" s="417"/>
      <c r="I178" s="418"/>
      <c r="J178" s="411">
        <f t="shared" si="20"/>
        <v>0</v>
      </c>
      <c r="K178" s="412">
        <f t="shared" si="21"/>
        <v>0</v>
      </c>
      <c r="L178" s="379"/>
    </row>
    <row r="179" spans="2:12" ht="11.1" customHeight="1">
      <c r="B179" s="494"/>
      <c r="C179" s="419"/>
      <c r="D179" s="431"/>
      <c r="E179" s="430" t="s">
        <v>735</v>
      </c>
      <c r="F179" s="408"/>
      <c r="G179" s="395" t="s">
        <v>563</v>
      </c>
      <c r="H179" s="417"/>
      <c r="I179" s="418"/>
      <c r="J179" s="411">
        <f t="shared" si="20"/>
        <v>0</v>
      </c>
      <c r="K179" s="412">
        <f t="shared" si="21"/>
        <v>0</v>
      </c>
      <c r="L179" s="379"/>
    </row>
    <row r="180" spans="2:12" ht="11.1" customHeight="1">
      <c r="B180" s="494"/>
      <c r="C180" s="419"/>
      <c r="D180" s="431"/>
      <c r="E180" s="430" t="s">
        <v>736</v>
      </c>
      <c r="F180" s="408"/>
      <c r="G180" s="395" t="s">
        <v>563</v>
      </c>
      <c r="H180" s="417"/>
      <c r="I180" s="418"/>
      <c r="J180" s="411">
        <f t="shared" si="20"/>
        <v>0</v>
      </c>
      <c r="K180" s="412">
        <f t="shared" si="21"/>
        <v>0</v>
      </c>
      <c r="L180" s="379"/>
    </row>
    <row r="181" spans="2:12" ht="11.1" customHeight="1">
      <c r="B181" s="494"/>
      <c r="C181" s="419"/>
      <c r="D181" s="431"/>
      <c r="E181" s="430" t="s">
        <v>737</v>
      </c>
      <c r="F181" s="408"/>
      <c r="G181" s="395" t="s">
        <v>563</v>
      </c>
      <c r="H181" s="417"/>
      <c r="I181" s="418"/>
      <c r="J181" s="411">
        <f t="shared" si="20"/>
        <v>0</v>
      </c>
      <c r="K181" s="412">
        <f t="shared" si="21"/>
        <v>0</v>
      </c>
      <c r="L181" s="379"/>
    </row>
    <row r="182" spans="2:12" ht="11.1" customHeight="1">
      <c r="B182" s="494"/>
      <c r="C182" s="419"/>
      <c r="D182" s="431"/>
      <c r="E182" s="430" t="s">
        <v>738</v>
      </c>
      <c r="F182" s="408"/>
      <c r="G182" s="395" t="s">
        <v>563</v>
      </c>
      <c r="H182" s="417"/>
      <c r="I182" s="418"/>
      <c r="J182" s="411">
        <f t="shared" si="20"/>
        <v>0</v>
      </c>
      <c r="K182" s="412">
        <f t="shared" si="21"/>
        <v>0</v>
      </c>
      <c r="L182" s="379"/>
    </row>
    <row r="183" spans="2:12" ht="11.1" customHeight="1">
      <c r="B183" s="494"/>
      <c r="C183" s="419"/>
      <c r="D183" s="431"/>
      <c r="E183" s="430" t="s">
        <v>739</v>
      </c>
      <c r="F183" s="408"/>
      <c r="G183" s="395" t="s">
        <v>563</v>
      </c>
      <c r="H183" s="417"/>
      <c r="I183" s="418"/>
      <c r="J183" s="411">
        <f t="shared" si="20"/>
        <v>0</v>
      </c>
      <c r="K183" s="412">
        <f t="shared" si="21"/>
        <v>0</v>
      </c>
      <c r="L183" s="379"/>
    </row>
    <row r="184" spans="2:12" ht="11.1" customHeight="1">
      <c r="B184" s="494"/>
      <c r="C184" s="419"/>
      <c r="D184" s="431"/>
      <c r="E184" s="430" t="s">
        <v>740</v>
      </c>
      <c r="F184" s="408"/>
      <c r="G184" s="395"/>
      <c r="H184" s="417"/>
      <c r="I184" s="418"/>
      <c r="J184" s="411">
        <f t="shared" si="20"/>
        <v>0</v>
      </c>
      <c r="K184" s="412">
        <f t="shared" si="21"/>
        <v>0</v>
      </c>
      <c r="L184" s="379"/>
    </row>
    <row r="185" spans="2:12" ht="11.1" customHeight="1">
      <c r="B185" s="494"/>
      <c r="C185" s="419"/>
      <c r="D185" s="431"/>
      <c r="E185" s="433" t="s">
        <v>606</v>
      </c>
      <c r="F185" s="356"/>
      <c r="G185" s="399"/>
      <c r="H185" s="400"/>
      <c r="I185" s="401"/>
      <c r="J185" s="377"/>
      <c r="K185" s="378"/>
      <c r="L185" s="402"/>
    </row>
    <row r="186" spans="2:12" ht="11.1" customHeight="1">
      <c r="B186" s="495"/>
      <c r="C186" s="427"/>
      <c r="D186" s="434"/>
      <c r="E186" s="435"/>
      <c r="F186" s="364"/>
      <c r="G186" s="475"/>
      <c r="H186" s="448"/>
      <c r="I186" s="476"/>
      <c r="J186" s="453">
        <f>ROUND(SUM(J170:J184),2)</f>
        <v>0</v>
      </c>
      <c r="K186" s="404" t="s">
        <v>560</v>
      </c>
      <c r="L186" s="369">
        <f>IF(J$334=0,0,100*J186/J$334)</f>
        <v>0</v>
      </c>
    </row>
    <row r="187" spans="2:12" ht="11.1" customHeight="1">
      <c r="B187" s="370">
        <v>6</v>
      </c>
      <c r="C187" s="428"/>
      <c r="D187" s="429"/>
      <c r="E187" s="430" t="s">
        <v>741</v>
      </c>
      <c r="F187" s="408"/>
      <c r="G187" s="383" t="s">
        <v>563</v>
      </c>
      <c r="H187" s="444"/>
      <c r="I187" s="384"/>
      <c r="J187" s="411">
        <f t="shared" ref="J187:J193" si="22">I187*H187</f>
        <v>0</v>
      </c>
      <c r="K187" s="412">
        <f t="shared" ref="K187:K193" si="23">IF(J$195=0,0,100*J187/J$195)</f>
        <v>0</v>
      </c>
      <c r="L187" s="379"/>
    </row>
    <row r="188" spans="2:12" ht="11.1" customHeight="1">
      <c r="B188" s="494"/>
      <c r="C188" s="419"/>
      <c r="D188" s="431"/>
      <c r="E188" s="430" t="s">
        <v>742</v>
      </c>
      <c r="F188" s="408"/>
      <c r="G188" s="395" t="s">
        <v>563</v>
      </c>
      <c r="H188" s="417"/>
      <c r="I188" s="418"/>
      <c r="J188" s="411">
        <f t="shared" si="22"/>
        <v>0</v>
      </c>
      <c r="K188" s="412">
        <f t="shared" si="23"/>
        <v>0</v>
      </c>
      <c r="L188" s="379"/>
    </row>
    <row r="189" spans="2:12" ht="11.1" customHeight="1">
      <c r="B189" s="494"/>
      <c r="C189" s="494"/>
      <c r="D189" s="496"/>
      <c r="E189" s="430" t="s">
        <v>743</v>
      </c>
      <c r="F189" s="408"/>
      <c r="G189" s="395" t="s">
        <v>563</v>
      </c>
      <c r="H189" s="417"/>
      <c r="I189" s="418"/>
      <c r="J189" s="411">
        <f t="shared" si="22"/>
        <v>0</v>
      </c>
      <c r="K189" s="412">
        <f t="shared" si="23"/>
        <v>0</v>
      </c>
      <c r="L189" s="379"/>
    </row>
    <row r="190" spans="2:12" ht="11.1" customHeight="1">
      <c r="B190" s="494"/>
      <c r="C190" s="390" t="s">
        <v>744</v>
      </c>
      <c r="D190" s="486" t="s">
        <v>685</v>
      </c>
      <c r="E190" s="430" t="s">
        <v>745</v>
      </c>
      <c r="F190" s="408"/>
      <c r="G190" s="395" t="s">
        <v>563</v>
      </c>
      <c r="H190" s="417"/>
      <c r="I190" s="418"/>
      <c r="J190" s="411">
        <f t="shared" si="22"/>
        <v>0</v>
      </c>
      <c r="K190" s="412">
        <f t="shared" si="23"/>
        <v>0</v>
      </c>
      <c r="L190" s="379"/>
    </row>
    <row r="191" spans="2:12" ht="11.1" customHeight="1">
      <c r="B191" s="380"/>
      <c r="D191" s="486" t="s">
        <v>746</v>
      </c>
      <c r="E191" s="430" t="s">
        <v>747</v>
      </c>
      <c r="F191" s="408"/>
      <c r="G191" s="395" t="s">
        <v>563</v>
      </c>
      <c r="H191" s="417"/>
      <c r="I191" s="418"/>
      <c r="J191" s="411">
        <f t="shared" si="22"/>
        <v>0</v>
      </c>
      <c r="K191" s="412">
        <f t="shared" si="23"/>
        <v>0</v>
      </c>
      <c r="L191" s="379"/>
    </row>
    <row r="192" spans="2:12" ht="11.1" customHeight="1">
      <c r="B192" s="380"/>
      <c r="C192" s="315"/>
      <c r="D192" s="496"/>
      <c r="E192" s="430" t="s">
        <v>748</v>
      </c>
      <c r="F192" s="408"/>
      <c r="G192" s="395" t="s">
        <v>563</v>
      </c>
      <c r="H192" s="417"/>
      <c r="I192" s="418"/>
      <c r="J192" s="411">
        <f t="shared" si="22"/>
        <v>0</v>
      </c>
      <c r="K192" s="412">
        <f t="shared" si="23"/>
        <v>0</v>
      </c>
      <c r="L192" s="379"/>
    </row>
    <row r="193" spans="2:12" ht="11.1" customHeight="1">
      <c r="B193" s="380"/>
      <c r="C193" s="315"/>
      <c r="D193" s="496"/>
      <c r="E193" s="407" t="s">
        <v>749</v>
      </c>
      <c r="F193" s="408"/>
      <c r="G193" s="395"/>
      <c r="H193" s="417"/>
      <c r="I193" s="418"/>
      <c r="J193" s="411">
        <f t="shared" si="22"/>
        <v>0</v>
      </c>
      <c r="K193" s="412">
        <f t="shared" si="23"/>
        <v>0</v>
      </c>
      <c r="L193" s="379"/>
    </row>
    <row r="194" spans="2:12" ht="11.1" customHeight="1">
      <c r="B194" s="380"/>
      <c r="C194" s="419"/>
      <c r="D194" s="431"/>
      <c r="E194" s="433" t="s">
        <v>606</v>
      </c>
      <c r="F194" s="356"/>
      <c r="G194" s="399"/>
      <c r="H194" s="400"/>
      <c r="I194" s="401"/>
      <c r="J194" s="377"/>
      <c r="K194" s="378"/>
      <c r="L194" s="402"/>
    </row>
    <row r="195" spans="2:12" ht="11.1" customHeight="1">
      <c r="B195" s="380"/>
      <c r="C195" s="427"/>
      <c r="D195" s="434"/>
      <c r="E195" s="435"/>
      <c r="F195" s="364"/>
      <c r="G195" s="399"/>
      <c r="H195" s="400"/>
      <c r="I195" s="401"/>
      <c r="J195" s="453">
        <f>ROUND(SUM(J187:J193),2)</f>
        <v>0</v>
      </c>
      <c r="K195" s="404" t="s">
        <v>560</v>
      </c>
      <c r="L195" s="369">
        <f>IF(J$334=0,0,100*J195/J$334)</f>
        <v>0</v>
      </c>
    </row>
    <row r="196" spans="2:12" ht="11.1" customHeight="1">
      <c r="B196" s="380"/>
      <c r="C196" s="371" t="s">
        <v>559</v>
      </c>
      <c r="D196" s="354"/>
      <c r="E196" s="373"/>
      <c r="F196" s="356"/>
      <c r="G196" s="399"/>
      <c r="H196" s="400"/>
      <c r="I196" s="401"/>
      <c r="J196" s="377"/>
      <c r="K196" s="455"/>
      <c r="L196" s="379"/>
    </row>
    <row r="197" spans="2:12" ht="11.1" customHeight="1">
      <c r="B197" s="365"/>
      <c r="C197" s="427"/>
      <c r="D197" s="362"/>
      <c r="E197" s="363"/>
      <c r="F197" s="364"/>
      <c r="G197" s="447"/>
      <c r="H197" s="448"/>
      <c r="I197" s="449"/>
      <c r="J197" s="403">
        <f>J195+J186+J169+J162+J154+J144</f>
        <v>0</v>
      </c>
      <c r="K197" s="484"/>
      <c r="L197" s="462"/>
    </row>
    <row r="198" spans="2:12" ht="11.1" customHeight="1">
      <c r="B198" s="370" t="s">
        <v>750</v>
      </c>
      <c r="C198" s="315"/>
      <c r="D198" s="432"/>
      <c r="E198" s="481" t="s">
        <v>751</v>
      </c>
      <c r="F198" s="363"/>
      <c r="G198" s="395" t="s">
        <v>563</v>
      </c>
      <c r="H198" s="417"/>
      <c r="I198" s="418"/>
      <c r="J198" s="411">
        <f t="shared" ref="J198:J203" si="24">I198*H198</f>
        <v>0</v>
      </c>
      <c r="K198" s="412">
        <f t="shared" ref="K198:K203" si="25">IF(J$205=0,0,100*J198/J$205)</f>
        <v>0</v>
      </c>
      <c r="L198" s="482"/>
    </row>
    <row r="199" spans="2:12" ht="11.1" customHeight="1">
      <c r="B199" s="405"/>
      <c r="C199" s="315"/>
      <c r="D199" s="432"/>
      <c r="E199" s="481" t="s">
        <v>752</v>
      </c>
      <c r="F199" s="363"/>
      <c r="G199" s="395" t="s">
        <v>563</v>
      </c>
      <c r="H199" s="417"/>
      <c r="I199" s="418"/>
      <c r="J199" s="411">
        <f t="shared" si="24"/>
        <v>0</v>
      </c>
      <c r="K199" s="412">
        <f t="shared" si="25"/>
        <v>0</v>
      </c>
      <c r="L199" s="482"/>
    </row>
    <row r="200" spans="2:12" ht="11.1" customHeight="1">
      <c r="B200" s="405"/>
      <c r="C200" s="413"/>
      <c r="D200" s="432"/>
      <c r="E200" s="481" t="s">
        <v>753</v>
      </c>
      <c r="F200" s="363"/>
      <c r="G200" s="395" t="s">
        <v>563</v>
      </c>
      <c r="H200" s="417"/>
      <c r="I200" s="418"/>
      <c r="J200" s="411">
        <f t="shared" si="24"/>
        <v>0</v>
      </c>
      <c r="K200" s="412">
        <f t="shared" si="25"/>
        <v>0</v>
      </c>
      <c r="L200" s="482"/>
    </row>
    <row r="201" spans="2:12" ht="11.1" customHeight="1">
      <c r="B201" s="405"/>
      <c r="C201" s="413" t="s">
        <v>754</v>
      </c>
      <c r="D201" s="432"/>
      <c r="E201" s="481" t="s">
        <v>755</v>
      </c>
      <c r="F201" s="363"/>
      <c r="G201" s="395" t="s">
        <v>563</v>
      </c>
      <c r="H201" s="417"/>
      <c r="I201" s="418"/>
      <c r="J201" s="411">
        <f t="shared" si="24"/>
        <v>0</v>
      </c>
      <c r="K201" s="412">
        <f t="shared" si="25"/>
        <v>0</v>
      </c>
      <c r="L201" s="482"/>
    </row>
    <row r="202" spans="2:12" ht="11.1" customHeight="1">
      <c r="B202" s="405"/>
      <c r="C202" s="413"/>
      <c r="D202" s="432"/>
      <c r="E202" s="481" t="s">
        <v>756</v>
      </c>
      <c r="F202" s="363"/>
      <c r="G202" s="395" t="s">
        <v>563</v>
      </c>
      <c r="H202" s="417"/>
      <c r="I202" s="418"/>
      <c r="J202" s="411">
        <f t="shared" si="24"/>
        <v>0</v>
      </c>
      <c r="K202" s="412">
        <f t="shared" si="25"/>
        <v>0</v>
      </c>
      <c r="L202" s="482"/>
    </row>
    <row r="203" spans="2:12" ht="11.1" customHeight="1">
      <c r="B203" s="497"/>
      <c r="C203" s="315"/>
      <c r="D203" s="432"/>
      <c r="E203" s="481" t="s">
        <v>757</v>
      </c>
      <c r="F203" s="363"/>
      <c r="G203" s="395"/>
      <c r="H203" s="417"/>
      <c r="I203" s="418"/>
      <c r="J203" s="411">
        <f t="shared" si="24"/>
        <v>0</v>
      </c>
      <c r="K203" s="412">
        <f t="shared" si="25"/>
        <v>0</v>
      </c>
      <c r="L203" s="483"/>
    </row>
    <row r="204" spans="2:12" ht="11.1" customHeight="1">
      <c r="B204" s="479"/>
      <c r="C204" s="413"/>
      <c r="D204" s="432"/>
      <c r="E204" s="433" t="s">
        <v>606</v>
      </c>
      <c r="F204" s="356"/>
      <c r="G204" s="399"/>
      <c r="H204" s="400"/>
      <c r="I204" s="401"/>
      <c r="J204" s="466"/>
      <c r="K204" s="498"/>
      <c r="L204" s="499"/>
    </row>
    <row r="205" spans="2:12" ht="11.1" customHeight="1">
      <c r="B205" s="479"/>
      <c r="C205" s="416"/>
      <c r="D205" s="432"/>
      <c r="E205" s="435"/>
      <c r="F205" s="364"/>
      <c r="G205" s="399"/>
      <c r="H205" s="400"/>
      <c r="I205" s="401"/>
      <c r="J205" s="471">
        <f>ROUND(SUM(J198:J203),2)</f>
        <v>0</v>
      </c>
      <c r="K205" s="404" t="s">
        <v>560</v>
      </c>
      <c r="L205" s="369">
        <f>IF(J$334=0,0,100*J205/J$334)</f>
        <v>0</v>
      </c>
    </row>
    <row r="206" spans="2:12" ht="11.1" customHeight="1">
      <c r="B206" s="479"/>
      <c r="C206" s="315"/>
      <c r="D206" s="354"/>
      <c r="E206" s="407" t="s">
        <v>758</v>
      </c>
      <c r="F206" s="408"/>
      <c r="G206" s="395" t="s">
        <v>563</v>
      </c>
      <c r="H206" s="417"/>
      <c r="I206" s="418"/>
      <c r="J206" s="411">
        <f>I206*H206</f>
        <v>0</v>
      </c>
      <c r="K206" s="412">
        <f>IF(J$212=0,0,100*J206/J$212)</f>
        <v>0</v>
      </c>
      <c r="L206" s="488"/>
    </row>
    <row r="207" spans="2:12" ht="11.1" customHeight="1">
      <c r="B207" s="479"/>
      <c r="C207" s="315"/>
      <c r="D207" s="432"/>
      <c r="E207" s="407" t="s">
        <v>759</v>
      </c>
      <c r="F207" s="408"/>
      <c r="G207" s="395" t="s">
        <v>563</v>
      </c>
      <c r="H207" s="417"/>
      <c r="I207" s="418"/>
      <c r="J207" s="411">
        <f>I207*H207</f>
        <v>0</v>
      </c>
      <c r="K207" s="412">
        <f>IF(J$212=0,0,100*J207/J$212)</f>
        <v>0</v>
      </c>
      <c r="L207" s="488"/>
    </row>
    <row r="208" spans="2:12" ht="11.1" customHeight="1">
      <c r="B208" s="479"/>
      <c r="C208" s="333"/>
      <c r="D208" s="432"/>
      <c r="E208" s="407" t="s">
        <v>760</v>
      </c>
      <c r="F208" s="408"/>
      <c r="G208" s="395" t="s">
        <v>563</v>
      </c>
      <c r="H208" s="417"/>
      <c r="I208" s="418"/>
      <c r="J208" s="411">
        <f>I208*H208</f>
        <v>0</v>
      </c>
      <c r="K208" s="412">
        <f>IF(J$212=0,0,100*J208/J$212)</f>
        <v>0</v>
      </c>
      <c r="L208" s="488"/>
    </row>
    <row r="209" spans="2:12" ht="11.1" customHeight="1">
      <c r="B209" s="380"/>
      <c r="C209" s="413" t="s">
        <v>761</v>
      </c>
      <c r="D209" s="432"/>
      <c r="E209" s="407" t="s">
        <v>762</v>
      </c>
      <c r="F209" s="408"/>
      <c r="G209" s="395" t="s">
        <v>563</v>
      </c>
      <c r="H209" s="417"/>
      <c r="I209" s="418"/>
      <c r="J209" s="411">
        <f>I209*H209</f>
        <v>0</v>
      </c>
      <c r="K209" s="412">
        <f>IF(J$212=0,0,100*J209/J$212)</f>
        <v>0</v>
      </c>
      <c r="L209" s="488"/>
    </row>
    <row r="210" spans="2:12" ht="11.1" customHeight="1">
      <c r="B210" s="380"/>
      <c r="C210" s="390"/>
      <c r="D210" s="432"/>
      <c r="E210" s="407" t="s">
        <v>763</v>
      </c>
      <c r="F210" s="408"/>
      <c r="G210" s="395"/>
      <c r="H210" s="417"/>
      <c r="I210" s="418"/>
      <c r="J210" s="411">
        <f>I210*H210</f>
        <v>0</v>
      </c>
      <c r="K210" s="412">
        <f>IF(J$212=0,0,100*J210/J$212)</f>
        <v>0</v>
      </c>
      <c r="L210" s="490"/>
    </row>
    <row r="211" spans="2:12" ht="11.1" customHeight="1">
      <c r="B211" s="380" t="s">
        <v>764</v>
      </c>
      <c r="C211" s="390"/>
      <c r="D211" s="432"/>
      <c r="E211" s="433" t="s">
        <v>606</v>
      </c>
      <c r="F211" s="356"/>
      <c r="G211" s="399"/>
      <c r="H211" s="400"/>
      <c r="I211" s="401"/>
      <c r="J211" s="500"/>
      <c r="K211" s="501"/>
      <c r="L211" s="468"/>
    </row>
    <row r="212" spans="2:12" ht="11.1" customHeight="1">
      <c r="B212" s="502" t="s">
        <v>765</v>
      </c>
      <c r="C212" s="381"/>
      <c r="D212" s="362"/>
      <c r="E212" s="435"/>
      <c r="F212" s="364"/>
      <c r="G212" s="447"/>
      <c r="H212" s="448"/>
      <c r="I212" s="449"/>
      <c r="J212" s="503">
        <f>ROUND(SUM(J206:J210),2)</f>
        <v>0</v>
      </c>
      <c r="K212" s="404" t="s">
        <v>560</v>
      </c>
      <c r="L212" s="369">
        <f>IF(J$334=0,0,100*J212/J$334)</f>
        <v>0</v>
      </c>
    </row>
    <row r="213" spans="2:12" ht="11.1" customHeight="1">
      <c r="B213" s="502" t="s">
        <v>712</v>
      </c>
      <c r="C213" s="390" t="s">
        <v>766</v>
      </c>
      <c r="D213" s="432"/>
      <c r="E213" s="407" t="s">
        <v>767</v>
      </c>
      <c r="F213" s="408"/>
      <c r="G213" s="395" t="s">
        <v>563</v>
      </c>
      <c r="H213" s="417"/>
      <c r="I213" s="418"/>
      <c r="J213" s="411">
        <f>I213*H213</f>
        <v>0</v>
      </c>
      <c r="K213" s="412">
        <f>IF(J$218=0,0,100*J213/J$218)</f>
        <v>0</v>
      </c>
      <c r="L213" s="379"/>
    </row>
    <row r="214" spans="2:12" ht="11.1" customHeight="1">
      <c r="B214" s="502" t="s">
        <v>768</v>
      </c>
      <c r="C214" s="390"/>
      <c r="D214" s="432"/>
      <c r="E214" s="407" t="s">
        <v>769</v>
      </c>
      <c r="F214" s="408"/>
      <c r="G214" s="395" t="s">
        <v>563</v>
      </c>
      <c r="H214" s="417"/>
      <c r="I214" s="418"/>
      <c r="J214" s="411">
        <f>I214*H214</f>
        <v>0</v>
      </c>
      <c r="K214" s="412">
        <f>IF(J$218=0,0,100*J214/J$218)</f>
        <v>0</v>
      </c>
      <c r="L214" s="379"/>
    </row>
    <row r="215" spans="2:12" ht="11.1" customHeight="1">
      <c r="B215" s="502" t="s">
        <v>770</v>
      </c>
      <c r="C215" s="390"/>
      <c r="D215" s="432"/>
      <c r="E215" s="407" t="s">
        <v>771</v>
      </c>
      <c r="F215" s="408"/>
      <c r="G215" s="395" t="s">
        <v>563</v>
      </c>
      <c r="H215" s="417"/>
      <c r="I215" s="418"/>
      <c r="J215" s="411">
        <f>I215*H215</f>
        <v>0</v>
      </c>
      <c r="K215" s="412">
        <f>IF(J$218=0,0,100*J215/J$218)</f>
        <v>0</v>
      </c>
      <c r="L215" s="379"/>
    </row>
    <row r="216" spans="2:12" ht="11.1" customHeight="1">
      <c r="B216" s="414"/>
      <c r="C216" s="390"/>
      <c r="D216" s="432"/>
      <c r="E216" s="407" t="s">
        <v>772</v>
      </c>
      <c r="F216" s="408"/>
      <c r="G216" s="395"/>
      <c r="H216" s="417"/>
      <c r="I216" s="418"/>
      <c r="J216" s="411">
        <f>I216*H216</f>
        <v>0</v>
      </c>
      <c r="K216" s="412">
        <f>IF(J$218=0,0,100*J216/J$218)</f>
        <v>0</v>
      </c>
      <c r="L216" s="462"/>
    </row>
    <row r="217" spans="2:12" ht="11.1" customHeight="1">
      <c r="B217" s="414"/>
      <c r="C217" s="390"/>
      <c r="D217" s="432"/>
      <c r="E217" s="433" t="s">
        <v>606</v>
      </c>
      <c r="F217" s="356"/>
      <c r="G217" s="399"/>
      <c r="H217" s="400"/>
      <c r="I217" s="504"/>
      <c r="J217" s="505"/>
      <c r="K217" s="506"/>
      <c r="L217" s="492"/>
    </row>
    <row r="218" spans="2:12" ht="11.1" customHeight="1">
      <c r="B218" s="414"/>
      <c r="C218" s="381"/>
      <c r="D218" s="362"/>
      <c r="E218" s="435"/>
      <c r="F218" s="364"/>
      <c r="G218" s="399"/>
      <c r="H218" s="400"/>
      <c r="I218" s="504"/>
      <c r="J218" s="507">
        <f>ROUND(SUM(J213:J216),2)</f>
        <v>0</v>
      </c>
      <c r="K218" s="404" t="s">
        <v>560</v>
      </c>
      <c r="L218" s="369">
        <f>IF(J$334=0,0,100*J218/J$334)</f>
        <v>0</v>
      </c>
    </row>
    <row r="219" spans="2:12" ht="11.1" customHeight="1">
      <c r="B219" s="414"/>
      <c r="C219" s="390" t="s">
        <v>773</v>
      </c>
      <c r="D219" s="432"/>
      <c r="E219" s="407" t="s">
        <v>774</v>
      </c>
      <c r="F219" s="408"/>
      <c r="G219" s="395" t="s">
        <v>563</v>
      </c>
      <c r="H219" s="417"/>
      <c r="I219" s="418"/>
      <c r="J219" s="411">
        <f>I219*H219</f>
        <v>0</v>
      </c>
      <c r="K219" s="412">
        <f>IF(J$224=0,0,100*J219/J$224)</f>
        <v>0</v>
      </c>
      <c r="L219" s="379"/>
    </row>
    <row r="220" spans="2:12" ht="11.1" customHeight="1">
      <c r="B220" s="414"/>
      <c r="C220" s="390"/>
      <c r="D220" s="432"/>
      <c r="E220" s="407" t="s">
        <v>775</v>
      </c>
      <c r="F220" s="408"/>
      <c r="G220" s="395" t="s">
        <v>563</v>
      </c>
      <c r="H220" s="417"/>
      <c r="I220" s="418"/>
      <c r="J220" s="411">
        <f>I220*H220</f>
        <v>0</v>
      </c>
      <c r="K220" s="412">
        <f>IF(J$224=0,0,100*J220/J$224)</f>
        <v>0</v>
      </c>
      <c r="L220" s="379"/>
    </row>
    <row r="221" spans="2:12" ht="11.1" customHeight="1">
      <c r="B221" s="414"/>
      <c r="C221" s="390"/>
      <c r="D221" s="432"/>
      <c r="E221" s="407" t="s">
        <v>776</v>
      </c>
      <c r="F221" s="408"/>
      <c r="G221" s="395" t="s">
        <v>563</v>
      </c>
      <c r="H221" s="417"/>
      <c r="I221" s="418"/>
      <c r="J221" s="411">
        <f>I221*H221</f>
        <v>0</v>
      </c>
      <c r="K221" s="412">
        <f>IF(J$224=0,0,100*J221/J$224)</f>
        <v>0</v>
      </c>
      <c r="L221" s="379"/>
    </row>
    <row r="222" spans="2:12" ht="11.1" customHeight="1">
      <c r="B222" s="414"/>
      <c r="C222" s="390"/>
      <c r="D222" s="432"/>
      <c r="E222" s="407" t="s">
        <v>777</v>
      </c>
      <c r="F222" s="408"/>
      <c r="G222" s="395"/>
      <c r="H222" s="417"/>
      <c r="I222" s="418"/>
      <c r="J222" s="411">
        <f>I222*H222</f>
        <v>0</v>
      </c>
      <c r="K222" s="412">
        <f>IF(J$224=0,0,100*J222/J$224)</f>
        <v>0</v>
      </c>
      <c r="L222" s="462"/>
    </row>
    <row r="223" spans="2:12" ht="11.1" customHeight="1">
      <c r="B223" s="380"/>
      <c r="C223" s="390"/>
      <c r="D223" s="432"/>
      <c r="E223" s="433" t="s">
        <v>606</v>
      </c>
      <c r="F223" s="356"/>
      <c r="G223" s="399"/>
      <c r="H223" s="400"/>
      <c r="I223" s="504"/>
      <c r="J223" s="505"/>
      <c r="K223" s="506"/>
      <c r="L223" s="492"/>
    </row>
    <row r="224" spans="2:12" ht="11.1" customHeight="1">
      <c r="B224" s="497"/>
      <c r="C224" s="381"/>
      <c r="D224" s="362"/>
      <c r="E224" s="435"/>
      <c r="F224" s="364"/>
      <c r="G224" s="399"/>
      <c r="H224" s="400"/>
      <c r="I224" s="504"/>
      <c r="J224" s="507">
        <f>ROUND(SUM(J219:J222),2)</f>
        <v>0</v>
      </c>
      <c r="K224" s="404" t="s">
        <v>560</v>
      </c>
      <c r="L224" s="369">
        <f>IF(J$334=0,0,100*J224/J$334)</f>
        <v>0</v>
      </c>
    </row>
    <row r="225" spans="2:12" ht="11.1" customHeight="1">
      <c r="B225" s="414"/>
      <c r="C225" s="494"/>
      <c r="D225" s="496"/>
      <c r="E225" s="508"/>
      <c r="F225" s="441" t="s">
        <v>778</v>
      </c>
      <c r="G225" s="395" t="s">
        <v>660</v>
      </c>
      <c r="H225" s="417"/>
      <c r="I225" s="418"/>
      <c r="J225" s="411">
        <f t="shared" ref="J225:J238" si="26">I225*H225</f>
        <v>0</v>
      </c>
      <c r="K225" s="412">
        <f t="shared" ref="K225:K238" si="27">IF(J$240=0,0,100*J225/J$240)</f>
        <v>0</v>
      </c>
      <c r="L225" s="379"/>
    </row>
    <row r="226" spans="2:12" ht="11.1" customHeight="1">
      <c r="B226" s="414"/>
      <c r="C226" s="494"/>
      <c r="D226" s="496"/>
      <c r="E226" s="509"/>
      <c r="F226" s="441" t="s">
        <v>779</v>
      </c>
      <c r="G226" s="395" t="s">
        <v>660</v>
      </c>
      <c r="H226" s="417"/>
      <c r="I226" s="418"/>
      <c r="J226" s="411">
        <f t="shared" si="26"/>
        <v>0</v>
      </c>
      <c r="K226" s="412">
        <f t="shared" si="27"/>
        <v>0</v>
      </c>
      <c r="L226" s="379"/>
    </row>
    <row r="227" spans="2:12" ht="11.1" customHeight="1">
      <c r="B227" s="414"/>
      <c r="C227" s="494"/>
      <c r="D227" s="496"/>
      <c r="E227" s="509" t="s">
        <v>780</v>
      </c>
      <c r="F227" s="441" t="s">
        <v>781</v>
      </c>
      <c r="G227" s="395" t="s">
        <v>660</v>
      </c>
      <c r="H227" s="417"/>
      <c r="I227" s="418"/>
      <c r="J227" s="411">
        <f t="shared" si="26"/>
        <v>0</v>
      </c>
      <c r="K227" s="412">
        <f t="shared" si="27"/>
        <v>0</v>
      </c>
      <c r="L227" s="379"/>
    </row>
    <row r="228" spans="2:12" ht="11.1" customHeight="1">
      <c r="B228" s="414"/>
      <c r="C228" s="390"/>
      <c r="D228" s="432"/>
      <c r="E228" s="509"/>
      <c r="F228" s="441" t="s">
        <v>782</v>
      </c>
      <c r="G228" s="395" t="s">
        <v>660</v>
      </c>
      <c r="H228" s="417"/>
      <c r="I228" s="418"/>
      <c r="J228" s="411">
        <f t="shared" si="26"/>
        <v>0</v>
      </c>
      <c r="K228" s="412">
        <f t="shared" si="27"/>
        <v>0</v>
      </c>
      <c r="L228" s="379"/>
    </row>
    <row r="229" spans="2:12" ht="11.1" customHeight="1">
      <c r="B229" s="414"/>
      <c r="C229" s="390"/>
      <c r="D229" s="432"/>
      <c r="E229" s="509"/>
      <c r="F229" s="441" t="s">
        <v>783</v>
      </c>
      <c r="G229" s="395" t="s">
        <v>660</v>
      </c>
      <c r="H229" s="417"/>
      <c r="I229" s="418"/>
      <c r="J229" s="411">
        <f t="shared" si="26"/>
        <v>0</v>
      </c>
      <c r="K229" s="412">
        <f t="shared" si="27"/>
        <v>0</v>
      </c>
      <c r="L229" s="379"/>
    </row>
    <row r="230" spans="2:12" ht="11.1" customHeight="1">
      <c r="B230" s="414"/>
      <c r="C230" s="390" t="s">
        <v>784</v>
      </c>
      <c r="D230" s="432"/>
      <c r="E230" s="435"/>
      <c r="F230" s="441" t="s">
        <v>785</v>
      </c>
      <c r="G230" s="395" t="s">
        <v>660</v>
      </c>
      <c r="H230" s="417"/>
      <c r="I230" s="418"/>
      <c r="J230" s="411">
        <f t="shared" si="26"/>
        <v>0</v>
      </c>
      <c r="K230" s="412">
        <f t="shared" si="27"/>
        <v>0</v>
      </c>
      <c r="L230" s="379"/>
    </row>
    <row r="231" spans="2:12" ht="11.1" customHeight="1">
      <c r="B231" s="414"/>
      <c r="C231" s="390"/>
      <c r="D231" s="432" t="s">
        <v>786</v>
      </c>
      <c r="E231" s="509"/>
      <c r="F231" s="441" t="s">
        <v>787</v>
      </c>
      <c r="G231" s="395" t="s">
        <v>660</v>
      </c>
      <c r="H231" s="417"/>
      <c r="I231" s="418"/>
      <c r="J231" s="411">
        <f t="shared" si="26"/>
        <v>0</v>
      </c>
      <c r="K231" s="412">
        <f t="shared" si="27"/>
        <v>0</v>
      </c>
      <c r="L231" s="379"/>
    </row>
    <row r="232" spans="2:12" ht="11.1" customHeight="1">
      <c r="B232" s="414"/>
      <c r="C232" s="390"/>
      <c r="D232" s="432" t="s">
        <v>788</v>
      </c>
      <c r="E232" s="509" t="s">
        <v>789</v>
      </c>
      <c r="F232" s="441" t="s">
        <v>790</v>
      </c>
      <c r="G232" s="395" t="s">
        <v>660</v>
      </c>
      <c r="H232" s="417"/>
      <c r="I232" s="418"/>
      <c r="J232" s="411">
        <f t="shared" si="26"/>
        <v>0</v>
      </c>
      <c r="K232" s="412">
        <f t="shared" si="27"/>
        <v>0</v>
      </c>
      <c r="L232" s="379"/>
    </row>
    <row r="233" spans="2:12" ht="11.1" customHeight="1">
      <c r="B233" s="380"/>
      <c r="C233" s="390"/>
      <c r="D233" s="432"/>
      <c r="E233" s="494"/>
      <c r="F233" s="441" t="s">
        <v>791</v>
      </c>
      <c r="G233" s="395" t="s">
        <v>660</v>
      </c>
      <c r="H233" s="417"/>
      <c r="I233" s="418"/>
      <c r="J233" s="411">
        <f t="shared" si="26"/>
        <v>0</v>
      </c>
      <c r="K233" s="412">
        <f t="shared" si="27"/>
        <v>0</v>
      </c>
      <c r="L233" s="379"/>
    </row>
    <row r="234" spans="2:12" ht="11.1" customHeight="1">
      <c r="B234" s="380"/>
      <c r="C234" s="390"/>
      <c r="D234" s="432"/>
      <c r="E234" s="435"/>
      <c r="F234" s="441" t="s">
        <v>792</v>
      </c>
      <c r="G234" s="395" t="s">
        <v>660</v>
      </c>
      <c r="H234" s="417"/>
      <c r="I234" s="418"/>
      <c r="J234" s="411">
        <f t="shared" si="26"/>
        <v>0</v>
      </c>
      <c r="K234" s="412">
        <f t="shared" si="27"/>
        <v>0</v>
      </c>
      <c r="L234" s="379"/>
    </row>
    <row r="235" spans="2:12" ht="11.1" customHeight="1">
      <c r="B235" s="380"/>
      <c r="C235" s="390"/>
      <c r="D235" s="432"/>
      <c r="E235" s="509"/>
      <c r="F235" s="441" t="s">
        <v>793</v>
      </c>
      <c r="G235" s="395" t="s">
        <v>660</v>
      </c>
      <c r="H235" s="417"/>
      <c r="I235" s="418"/>
      <c r="J235" s="411">
        <f t="shared" si="26"/>
        <v>0</v>
      </c>
      <c r="K235" s="412">
        <f t="shared" si="27"/>
        <v>0</v>
      </c>
      <c r="L235" s="379"/>
    </row>
    <row r="236" spans="2:12" ht="11.1" customHeight="1">
      <c r="B236" s="380"/>
      <c r="C236" s="390"/>
      <c r="D236" s="432"/>
      <c r="E236" s="509"/>
      <c r="F236" s="441" t="s">
        <v>794</v>
      </c>
      <c r="G236" s="395" t="s">
        <v>660</v>
      </c>
      <c r="H236" s="417"/>
      <c r="I236" s="418"/>
      <c r="J236" s="411">
        <f t="shared" si="26"/>
        <v>0</v>
      </c>
      <c r="K236" s="412">
        <f t="shared" si="27"/>
        <v>0</v>
      </c>
      <c r="L236" s="379"/>
    </row>
    <row r="237" spans="2:12" ht="11.1" customHeight="1">
      <c r="B237" s="380"/>
      <c r="C237" s="390"/>
      <c r="D237" s="432"/>
      <c r="E237" s="509" t="s">
        <v>795</v>
      </c>
      <c r="F237" s="441" t="s">
        <v>796</v>
      </c>
      <c r="G237" s="395" t="s">
        <v>660</v>
      </c>
      <c r="H237" s="417"/>
      <c r="I237" s="418"/>
      <c r="J237" s="411">
        <f t="shared" si="26"/>
        <v>0</v>
      </c>
      <c r="K237" s="412">
        <f t="shared" si="27"/>
        <v>0</v>
      </c>
      <c r="L237" s="379"/>
    </row>
    <row r="238" spans="2:12" ht="11.1" customHeight="1">
      <c r="B238" s="414"/>
      <c r="C238" s="390"/>
      <c r="D238" s="432"/>
      <c r="E238" s="435"/>
      <c r="F238" s="441" t="s">
        <v>797</v>
      </c>
      <c r="G238" s="395" t="s">
        <v>660</v>
      </c>
      <c r="H238" s="417"/>
      <c r="I238" s="418"/>
      <c r="J238" s="411">
        <f t="shared" si="26"/>
        <v>0</v>
      </c>
      <c r="K238" s="412">
        <f t="shared" si="27"/>
        <v>0</v>
      </c>
      <c r="L238" s="462"/>
    </row>
    <row r="239" spans="2:12" ht="11.1" customHeight="1">
      <c r="B239" s="414"/>
      <c r="C239" s="390"/>
      <c r="D239" s="432"/>
      <c r="E239" s="433" t="s">
        <v>606</v>
      </c>
      <c r="F239" s="356"/>
      <c r="G239" s="399"/>
      <c r="H239" s="400"/>
      <c r="I239" s="504"/>
      <c r="J239" s="505"/>
      <c r="K239" s="506"/>
      <c r="L239" s="492"/>
    </row>
    <row r="240" spans="2:12" ht="11.1" customHeight="1">
      <c r="B240" s="474"/>
      <c r="C240" s="381"/>
      <c r="D240" s="362"/>
      <c r="E240" s="435"/>
      <c r="F240" s="364"/>
      <c r="G240" s="447"/>
      <c r="H240" s="448"/>
      <c r="I240" s="476"/>
      <c r="J240" s="510">
        <f>ROUND(SUM(J225:J238),2)</f>
        <v>0</v>
      </c>
      <c r="K240" s="404" t="s">
        <v>560</v>
      </c>
      <c r="L240" s="369">
        <f>IF(J$334=0,0,100*J240/J$334)</f>
        <v>0</v>
      </c>
    </row>
    <row r="241" spans="2:12" ht="11.1" customHeight="1">
      <c r="B241" s="370">
        <v>7</v>
      </c>
      <c r="C241" s="390"/>
      <c r="D241" s="432"/>
      <c r="E241" s="481" t="s">
        <v>798</v>
      </c>
      <c r="F241" s="408"/>
      <c r="G241" s="395" t="s">
        <v>563</v>
      </c>
      <c r="H241" s="417"/>
      <c r="I241" s="418"/>
      <c r="J241" s="411">
        <f t="shared" ref="J241:J246" si="28">I241*H241</f>
        <v>0</v>
      </c>
      <c r="K241" s="412">
        <f t="shared" ref="K241:K246" si="29">IF(J$248=0,0,100*J241/J$248)</f>
        <v>0</v>
      </c>
      <c r="L241" s="488"/>
    </row>
    <row r="242" spans="2:12" ht="11.1" customHeight="1">
      <c r="B242" s="414"/>
      <c r="C242" s="390"/>
      <c r="D242" s="432"/>
      <c r="E242" s="481" t="s">
        <v>799</v>
      </c>
      <c r="F242" s="408"/>
      <c r="G242" s="395" t="s">
        <v>563</v>
      </c>
      <c r="H242" s="417"/>
      <c r="I242" s="418"/>
      <c r="J242" s="411">
        <f t="shared" si="28"/>
        <v>0</v>
      </c>
      <c r="K242" s="412">
        <f t="shared" si="29"/>
        <v>0</v>
      </c>
      <c r="L242" s="488"/>
    </row>
    <row r="243" spans="2:12" ht="11.1" customHeight="1">
      <c r="B243" s="380" t="s">
        <v>764</v>
      </c>
      <c r="C243" s="390" t="s">
        <v>800</v>
      </c>
      <c r="D243" s="432"/>
      <c r="E243" s="481" t="s">
        <v>801</v>
      </c>
      <c r="F243" s="408"/>
      <c r="G243" s="395" t="s">
        <v>563</v>
      </c>
      <c r="H243" s="417"/>
      <c r="I243" s="418"/>
      <c r="J243" s="411">
        <f t="shared" si="28"/>
        <v>0</v>
      </c>
      <c r="K243" s="412">
        <f t="shared" si="29"/>
        <v>0</v>
      </c>
      <c r="L243" s="488"/>
    </row>
    <row r="244" spans="2:12" ht="11.1" customHeight="1">
      <c r="B244" s="502" t="s">
        <v>765</v>
      </c>
      <c r="C244" s="390"/>
      <c r="D244" s="432" t="s">
        <v>746</v>
      </c>
      <c r="E244" s="481" t="s">
        <v>802</v>
      </c>
      <c r="F244" s="408"/>
      <c r="G244" s="395" t="s">
        <v>563</v>
      </c>
      <c r="H244" s="417"/>
      <c r="I244" s="418"/>
      <c r="J244" s="411">
        <f t="shared" si="28"/>
        <v>0</v>
      </c>
      <c r="K244" s="412">
        <f t="shared" si="29"/>
        <v>0</v>
      </c>
      <c r="L244" s="488"/>
    </row>
    <row r="245" spans="2:12" ht="11.1" customHeight="1">
      <c r="B245" s="502" t="s">
        <v>712</v>
      </c>
      <c r="C245" s="390"/>
      <c r="D245" s="432"/>
      <c r="E245" s="511" t="s">
        <v>803</v>
      </c>
      <c r="F245" s="408"/>
      <c r="G245" s="395" t="s">
        <v>563</v>
      </c>
      <c r="H245" s="417"/>
      <c r="I245" s="418"/>
      <c r="J245" s="411">
        <f t="shared" si="28"/>
        <v>0</v>
      </c>
      <c r="K245" s="412">
        <f t="shared" si="29"/>
        <v>0</v>
      </c>
      <c r="L245" s="488"/>
    </row>
    <row r="246" spans="2:12" ht="11.1" customHeight="1">
      <c r="B246" s="502" t="s">
        <v>768</v>
      </c>
      <c r="C246" s="390"/>
      <c r="D246" s="432"/>
      <c r="E246" s="481" t="s">
        <v>804</v>
      </c>
      <c r="F246" s="408"/>
      <c r="G246" s="395"/>
      <c r="H246" s="417"/>
      <c r="I246" s="418"/>
      <c r="J246" s="411">
        <f t="shared" si="28"/>
        <v>0</v>
      </c>
      <c r="K246" s="412">
        <f t="shared" si="29"/>
        <v>0</v>
      </c>
      <c r="L246" s="490"/>
    </row>
    <row r="247" spans="2:12" ht="11.1" customHeight="1">
      <c r="B247" s="502" t="s">
        <v>770</v>
      </c>
      <c r="C247" s="390"/>
      <c r="D247" s="432"/>
      <c r="E247" s="433" t="s">
        <v>606</v>
      </c>
      <c r="F247" s="356"/>
      <c r="G247" s="399"/>
      <c r="H247" s="400"/>
      <c r="I247" s="504"/>
      <c r="J247" s="505"/>
      <c r="K247" s="506"/>
      <c r="L247" s="492"/>
    </row>
    <row r="248" spans="2:12" ht="11.1" customHeight="1">
      <c r="B248" s="502"/>
      <c r="C248" s="390"/>
      <c r="D248" s="432"/>
      <c r="E248" s="435"/>
      <c r="F248" s="364"/>
      <c r="G248" s="399"/>
      <c r="H248" s="400"/>
      <c r="I248" s="504"/>
      <c r="J248" s="507">
        <f>ROUND(SUM(J241:J246),2)</f>
        <v>0</v>
      </c>
      <c r="K248" s="404" t="s">
        <v>560</v>
      </c>
      <c r="L248" s="369">
        <f>IF(J$334=0,0,100*J248/J$334)</f>
        <v>0</v>
      </c>
    </row>
    <row r="249" spans="2:12" ht="11.1" customHeight="1">
      <c r="B249" s="380"/>
      <c r="C249" s="422" t="s">
        <v>805</v>
      </c>
      <c r="D249" s="512"/>
      <c r="E249" s="424"/>
      <c r="F249" s="408"/>
      <c r="G249" s="395" t="s">
        <v>140</v>
      </c>
      <c r="H249" s="417"/>
      <c r="I249" s="418"/>
      <c r="J249" s="411">
        <f>ROUND(I249*H249,2)</f>
        <v>0</v>
      </c>
      <c r="K249" s="455"/>
      <c r="L249" s="513">
        <f>IF(J$334=0,0,100*J249/J$334)</f>
        <v>0</v>
      </c>
    </row>
    <row r="250" spans="2:12" ht="11.1" customHeight="1">
      <c r="B250" s="414"/>
      <c r="C250" s="371" t="s">
        <v>559</v>
      </c>
      <c r="D250" s="354"/>
      <c r="E250" s="373"/>
      <c r="F250" s="356"/>
      <c r="G250" s="399"/>
      <c r="H250" s="400"/>
      <c r="I250" s="401"/>
      <c r="J250" s="366"/>
      <c r="K250" s="455"/>
      <c r="L250" s="379"/>
    </row>
    <row r="251" spans="2:12" ht="11.1" customHeight="1">
      <c r="B251" s="514"/>
      <c r="C251" s="427"/>
      <c r="D251" s="362"/>
      <c r="E251" s="363"/>
      <c r="F251" s="364"/>
      <c r="G251" s="447"/>
      <c r="H251" s="448"/>
      <c r="I251" s="449"/>
      <c r="J251" s="403">
        <f>J249+J248+J240+J224+J218+J212+J205</f>
        <v>0</v>
      </c>
      <c r="K251" s="484"/>
      <c r="L251" s="462"/>
    </row>
    <row r="252" spans="2:12" ht="11.1" customHeight="1">
      <c r="B252" s="370" t="s">
        <v>806</v>
      </c>
      <c r="C252" s="428"/>
      <c r="D252" s="429"/>
      <c r="E252" s="515" t="s">
        <v>807</v>
      </c>
      <c r="F252" s="363"/>
      <c r="G252" s="395"/>
      <c r="H252" s="516"/>
      <c r="I252" s="517"/>
      <c r="J252" s="418">
        <f>'LISTA MATERIAIS'!H102</f>
        <v>3600</v>
      </c>
      <c r="K252" s="412">
        <f t="shared" ref="K252:K268" si="30">IF(J$270=0,0,100*J252/J$270)</f>
        <v>6.0903400439857895</v>
      </c>
      <c r="L252" s="379"/>
    </row>
    <row r="253" spans="2:12" ht="11.1" customHeight="1">
      <c r="B253" s="405"/>
      <c r="C253" s="419"/>
      <c r="D253" s="431"/>
      <c r="E253" s="515" t="s">
        <v>808</v>
      </c>
      <c r="F253" s="363"/>
      <c r="G253" s="395"/>
      <c r="H253" s="516"/>
      <c r="I253" s="517"/>
      <c r="J253" s="418"/>
      <c r="K253" s="412">
        <f t="shared" si="30"/>
        <v>0</v>
      </c>
      <c r="L253" s="379"/>
    </row>
    <row r="254" spans="2:12" ht="11.1" customHeight="1">
      <c r="B254" s="405"/>
      <c r="C254" s="419"/>
      <c r="D254" s="431"/>
      <c r="E254" s="515" t="s">
        <v>809</v>
      </c>
      <c r="F254" s="363"/>
      <c r="G254" s="395"/>
      <c r="H254" s="516"/>
      <c r="I254" s="517"/>
      <c r="J254" s="418"/>
      <c r="K254" s="412">
        <f t="shared" si="30"/>
        <v>0</v>
      </c>
      <c r="L254" s="379"/>
    </row>
    <row r="255" spans="2:12" ht="11.1" customHeight="1">
      <c r="B255" s="405"/>
      <c r="C255" s="419"/>
      <c r="D255" s="431"/>
      <c r="E255" s="515" t="s">
        <v>810</v>
      </c>
      <c r="F255" s="363"/>
      <c r="G255" s="395"/>
      <c r="H255" s="516"/>
      <c r="I255" s="517"/>
      <c r="J255" s="418">
        <f>SUM('LISTA MATERIAIS'!H112:H118)</f>
        <v>39690</v>
      </c>
      <c r="K255" s="412">
        <f t="shared" si="30"/>
        <v>67.145998984943333</v>
      </c>
      <c r="L255" s="379"/>
    </row>
    <row r="256" spans="2:12" ht="11.1" customHeight="1">
      <c r="B256" s="405"/>
      <c r="C256" s="419"/>
      <c r="D256" s="431"/>
      <c r="E256" s="515" t="s">
        <v>811</v>
      </c>
      <c r="F256" s="363"/>
      <c r="G256" s="395"/>
      <c r="H256" s="516"/>
      <c r="I256" s="517"/>
      <c r="J256" s="418"/>
      <c r="K256" s="412">
        <f t="shared" si="30"/>
        <v>0</v>
      </c>
      <c r="L256" s="379"/>
    </row>
    <row r="257" spans="2:12" ht="11.1" customHeight="1">
      <c r="B257" s="405"/>
      <c r="C257" s="419"/>
      <c r="D257" s="431"/>
      <c r="E257" s="515" t="s">
        <v>812</v>
      </c>
      <c r="F257" s="363"/>
      <c r="G257" s="395"/>
      <c r="H257" s="516"/>
      <c r="I257" s="517"/>
      <c r="J257" s="418"/>
      <c r="K257" s="412">
        <f t="shared" si="30"/>
        <v>0</v>
      </c>
      <c r="L257" s="379"/>
    </row>
    <row r="258" spans="2:12" ht="11.1" customHeight="1">
      <c r="B258" s="405"/>
      <c r="C258" s="419"/>
      <c r="D258" s="431"/>
      <c r="E258" s="515" t="s">
        <v>813</v>
      </c>
      <c r="F258" s="363"/>
      <c r="G258" s="395"/>
      <c r="H258" s="516"/>
      <c r="I258" s="517"/>
      <c r="J258" s="418">
        <f>SUM('LISTA MATERIAIS'!H104:H111)+SUM('LISTA MATERIAIS'!H119:H122)</f>
        <v>1860</v>
      </c>
      <c r="K258" s="412">
        <f t="shared" si="30"/>
        <v>3.1466756893926577</v>
      </c>
      <c r="L258" s="379"/>
    </row>
    <row r="259" spans="2:12" ht="11.1" customHeight="1">
      <c r="B259" s="380"/>
      <c r="C259" s="419"/>
      <c r="D259" s="431"/>
      <c r="E259" s="515" t="s">
        <v>814</v>
      </c>
      <c r="F259" s="363"/>
      <c r="G259" s="395"/>
      <c r="H259" s="516"/>
      <c r="I259" s="517"/>
      <c r="J259" s="418"/>
      <c r="K259" s="412">
        <f t="shared" si="30"/>
        <v>0</v>
      </c>
      <c r="L259" s="379"/>
    </row>
    <row r="260" spans="2:12" ht="11.1" customHeight="1">
      <c r="B260" s="380"/>
      <c r="C260" s="390" t="s">
        <v>815</v>
      </c>
      <c r="D260" s="431"/>
      <c r="E260" s="515" t="s">
        <v>816</v>
      </c>
      <c r="F260" s="363"/>
      <c r="G260" s="395"/>
      <c r="H260" s="516"/>
      <c r="I260" s="517"/>
      <c r="J260" s="418">
        <f>'LISTA MATERIAIS'!H128+'LISTA MATERIAIS'!H129+'LISTA MATERIAIS'!H130+'LISTA MATERIAIS'!H131</f>
        <v>13850</v>
      </c>
      <c r="K260" s="412">
        <f t="shared" si="30"/>
        <v>23.430891558111995</v>
      </c>
      <c r="L260" s="379"/>
    </row>
    <row r="261" spans="2:12" ht="11.1" customHeight="1">
      <c r="B261" s="380"/>
      <c r="C261" s="390" t="s">
        <v>817</v>
      </c>
      <c r="D261" s="431"/>
      <c r="E261" s="515" t="s">
        <v>818</v>
      </c>
      <c r="F261" s="363"/>
      <c r="G261" s="395"/>
      <c r="H261" s="516"/>
      <c r="I261" s="517"/>
      <c r="J261" s="418">
        <f>'LISTA MATERIAIS'!H103</f>
        <v>110</v>
      </c>
      <c r="K261" s="412">
        <f t="shared" si="30"/>
        <v>0.18609372356623244</v>
      </c>
      <c r="L261" s="379"/>
    </row>
    <row r="262" spans="2:12" ht="11.1" customHeight="1">
      <c r="B262" s="380"/>
      <c r="C262" s="419"/>
      <c r="D262" s="431"/>
      <c r="E262" s="515" t="s">
        <v>819</v>
      </c>
      <c r="F262" s="363"/>
      <c r="G262" s="395"/>
      <c r="H262" s="516"/>
      <c r="I262" s="517"/>
      <c r="J262" s="418"/>
      <c r="K262" s="412">
        <f t="shared" si="30"/>
        <v>0</v>
      </c>
      <c r="L262" s="379"/>
    </row>
    <row r="263" spans="2:12" ht="11.1" customHeight="1">
      <c r="B263" s="380"/>
      <c r="C263" s="390"/>
      <c r="D263" s="431"/>
      <c r="E263" s="518" t="s">
        <v>820</v>
      </c>
      <c r="F263" s="363"/>
      <c r="G263" s="395"/>
      <c r="H263" s="516"/>
      <c r="I263" s="517"/>
      <c r="J263" s="418"/>
      <c r="K263" s="412">
        <f t="shared" si="30"/>
        <v>0</v>
      </c>
      <c r="L263" s="379"/>
    </row>
    <row r="264" spans="2:12" ht="11.1" customHeight="1">
      <c r="B264" s="380"/>
      <c r="C264" s="390"/>
      <c r="D264" s="431"/>
      <c r="E264" s="515" t="s">
        <v>821</v>
      </c>
      <c r="F264" s="363"/>
      <c r="G264" s="395"/>
      <c r="H264" s="516"/>
      <c r="I264" s="517"/>
      <c r="J264" s="418"/>
      <c r="K264" s="412">
        <f t="shared" si="30"/>
        <v>0</v>
      </c>
      <c r="L264" s="379"/>
    </row>
    <row r="265" spans="2:12" ht="11.1" customHeight="1">
      <c r="B265" s="380"/>
      <c r="C265" s="315"/>
      <c r="D265" s="431"/>
      <c r="E265" s="515" t="s">
        <v>822</v>
      </c>
      <c r="F265" s="363"/>
      <c r="G265" s="395"/>
      <c r="H265" s="516"/>
      <c r="I265" s="517"/>
      <c r="J265" s="418"/>
      <c r="K265" s="412">
        <f t="shared" si="30"/>
        <v>0</v>
      </c>
      <c r="L265" s="379"/>
    </row>
    <row r="266" spans="2:12" ht="11.1" customHeight="1">
      <c r="B266" s="380"/>
      <c r="C266" s="315"/>
      <c r="D266" s="431"/>
      <c r="E266" s="515" t="s">
        <v>823</v>
      </c>
      <c r="F266" s="363"/>
      <c r="G266" s="395"/>
      <c r="H266" s="516"/>
      <c r="I266" s="517"/>
      <c r="J266" s="418"/>
      <c r="K266" s="412">
        <f t="shared" si="30"/>
        <v>0</v>
      </c>
      <c r="L266" s="379"/>
    </row>
    <row r="267" spans="2:12" ht="11.1" customHeight="1">
      <c r="B267" s="380"/>
      <c r="C267" s="390"/>
      <c r="D267" s="431"/>
      <c r="E267" s="515" t="s">
        <v>824</v>
      </c>
      <c r="F267" s="363"/>
      <c r="G267" s="395"/>
      <c r="H267" s="516"/>
      <c r="I267" s="517"/>
      <c r="J267" s="418"/>
      <c r="K267" s="412">
        <f t="shared" si="30"/>
        <v>0</v>
      </c>
      <c r="L267" s="379"/>
    </row>
    <row r="268" spans="2:12" ht="11.1" customHeight="1">
      <c r="B268" s="479"/>
      <c r="C268" s="315"/>
      <c r="D268" s="431"/>
      <c r="E268" s="519"/>
      <c r="F268" s="392"/>
      <c r="G268" s="395"/>
      <c r="H268" s="520"/>
      <c r="I268" s="521"/>
      <c r="J268" s="418"/>
      <c r="K268" s="412">
        <f t="shared" si="30"/>
        <v>0</v>
      </c>
      <c r="L268" s="379"/>
    </row>
    <row r="269" spans="2:12" ht="11.1" customHeight="1">
      <c r="B269" s="479"/>
      <c r="C269" s="419"/>
      <c r="D269" s="431"/>
      <c r="E269" s="433" t="s">
        <v>606</v>
      </c>
      <c r="F269" s="356"/>
      <c r="G269" s="456"/>
      <c r="H269" s="457"/>
      <c r="I269" s="458"/>
      <c r="J269" s="377"/>
      <c r="K269" s="378"/>
      <c r="L269" s="402"/>
    </row>
    <row r="270" spans="2:12" ht="11.1" customHeight="1">
      <c r="B270" s="380" t="s">
        <v>825</v>
      </c>
      <c r="C270" s="427"/>
      <c r="D270" s="434"/>
      <c r="E270" s="435"/>
      <c r="F270" s="364"/>
      <c r="G270" s="447"/>
      <c r="H270" s="448"/>
      <c r="I270" s="449"/>
      <c r="J270" s="453">
        <f>ROUND(SUM(J252:J268),2)</f>
        <v>59110</v>
      </c>
      <c r="K270" s="404" t="s">
        <v>560</v>
      </c>
      <c r="L270" s="369">
        <f>IF(J$334=0,0,100*J270/J$334)</f>
        <v>46.031448255582553</v>
      </c>
    </row>
    <row r="271" spans="2:12" ht="11.1" customHeight="1">
      <c r="B271" s="380" t="s">
        <v>826</v>
      </c>
      <c r="C271" s="428"/>
      <c r="D271" s="429"/>
      <c r="E271" s="522"/>
      <c r="F271" s="441" t="s">
        <v>827</v>
      </c>
      <c r="G271" s="395"/>
      <c r="H271" s="516"/>
      <c r="I271" s="517"/>
      <c r="J271" s="418"/>
      <c r="K271" s="412">
        <f>IF(J$294=0,0,100*J271/J$294)</f>
        <v>0</v>
      </c>
      <c r="L271" s="379"/>
    </row>
    <row r="272" spans="2:12" ht="11.1" customHeight="1">
      <c r="B272" s="380" t="s">
        <v>828</v>
      </c>
      <c r="C272" s="419"/>
      <c r="D272" s="431"/>
      <c r="E272" s="522"/>
      <c r="F272" s="441" t="s">
        <v>829</v>
      </c>
      <c r="G272" s="395"/>
      <c r="H272" s="516"/>
      <c r="I272" s="517"/>
      <c r="J272" s="418"/>
      <c r="K272" s="412">
        <f t="shared" ref="K272:K292" si="31">IF(J$294=0,0,100*J272/J$294)</f>
        <v>0</v>
      </c>
      <c r="L272" s="379"/>
    </row>
    <row r="273" spans="2:12" ht="11.1" customHeight="1">
      <c r="B273" s="380"/>
      <c r="C273" s="419"/>
      <c r="D273" s="431"/>
      <c r="E273" s="522" t="s">
        <v>830</v>
      </c>
      <c r="F273" s="441" t="s">
        <v>831</v>
      </c>
      <c r="G273" s="395"/>
      <c r="H273" s="516"/>
      <c r="I273" s="517"/>
      <c r="J273" s="418"/>
      <c r="K273" s="412">
        <f t="shared" si="31"/>
        <v>0</v>
      </c>
      <c r="L273" s="379"/>
    </row>
    <row r="274" spans="2:12" ht="11.1" customHeight="1">
      <c r="B274" s="380" t="s">
        <v>548</v>
      </c>
      <c r="C274" s="419"/>
      <c r="D274" s="431"/>
      <c r="E274" s="523" t="s">
        <v>832</v>
      </c>
      <c r="F274" s="441" t="s">
        <v>833</v>
      </c>
      <c r="G274" s="395"/>
      <c r="H274" s="516"/>
      <c r="I274" s="517"/>
      <c r="J274" s="418">
        <f>SUM('LISTA MATERIAIS'!H158:H197)</f>
        <v>8386.279333333332</v>
      </c>
      <c r="K274" s="412">
        <f t="shared" si="31"/>
        <v>30.325748050582689</v>
      </c>
      <c r="L274" s="379"/>
    </row>
    <row r="275" spans="2:12" ht="11.1" customHeight="1">
      <c r="B275" s="380"/>
      <c r="C275" s="419"/>
      <c r="D275" s="431"/>
      <c r="E275" s="522"/>
      <c r="F275" s="441" t="s">
        <v>834</v>
      </c>
      <c r="G275" s="395"/>
      <c r="H275" s="516"/>
      <c r="I275" s="517"/>
      <c r="J275" s="418"/>
      <c r="K275" s="412">
        <f t="shared" si="31"/>
        <v>0</v>
      </c>
      <c r="L275" s="379"/>
    </row>
    <row r="276" spans="2:12" ht="11.1" customHeight="1">
      <c r="B276" s="380" t="s">
        <v>835</v>
      </c>
      <c r="C276" s="419"/>
      <c r="D276" s="431"/>
      <c r="E276" s="524"/>
      <c r="F276" s="441" t="s">
        <v>836</v>
      </c>
      <c r="G276" s="395"/>
      <c r="H276" s="516"/>
      <c r="I276" s="517"/>
      <c r="J276" s="418"/>
      <c r="K276" s="412">
        <f t="shared" si="31"/>
        <v>0</v>
      </c>
      <c r="L276" s="379"/>
    </row>
    <row r="277" spans="2:12" ht="11.1" customHeight="1">
      <c r="B277" s="380" t="s">
        <v>837</v>
      </c>
      <c r="C277" s="419"/>
      <c r="D277" s="431"/>
      <c r="E277" s="522"/>
      <c r="F277" s="441" t="s">
        <v>838</v>
      </c>
      <c r="G277" s="395"/>
      <c r="H277" s="516"/>
      <c r="I277" s="517"/>
      <c r="J277" s="418"/>
      <c r="K277" s="412">
        <f t="shared" si="31"/>
        <v>0</v>
      </c>
      <c r="L277" s="379"/>
    </row>
    <row r="278" spans="2:12" ht="11.1" customHeight="1">
      <c r="B278" s="380"/>
      <c r="C278" s="419"/>
      <c r="D278" s="431"/>
      <c r="E278" s="522" t="s">
        <v>839</v>
      </c>
      <c r="F278" s="441" t="s">
        <v>840</v>
      </c>
      <c r="G278" s="395"/>
      <c r="H278" s="516"/>
      <c r="I278" s="517"/>
      <c r="J278" s="418"/>
      <c r="K278" s="412">
        <f t="shared" si="31"/>
        <v>0</v>
      </c>
      <c r="L278" s="379"/>
    </row>
    <row r="279" spans="2:12" ht="11.1" customHeight="1">
      <c r="B279" s="380"/>
      <c r="C279" s="419"/>
      <c r="D279" s="431"/>
      <c r="E279" s="525" t="s">
        <v>841</v>
      </c>
      <c r="F279" s="441" t="s">
        <v>842</v>
      </c>
      <c r="G279" s="395"/>
      <c r="H279" s="516"/>
      <c r="I279" s="517"/>
      <c r="J279" s="418">
        <f>SUM('LISTA MATERIAIS'!H199:H217)</f>
        <v>19267.712</v>
      </c>
      <c r="K279" s="412">
        <f t="shared" si="31"/>
        <v>69.674256770903582</v>
      </c>
      <c r="L279" s="379"/>
    </row>
    <row r="280" spans="2:12" ht="11.1" customHeight="1">
      <c r="B280" s="526"/>
      <c r="C280" s="419"/>
      <c r="D280" s="431"/>
      <c r="E280" s="525"/>
      <c r="F280" s="441" t="s">
        <v>843</v>
      </c>
      <c r="G280" s="395"/>
      <c r="H280" s="516"/>
      <c r="I280" s="517"/>
      <c r="J280" s="418"/>
      <c r="K280" s="412">
        <f t="shared" si="31"/>
        <v>0</v>
      </c>
      <c r="L280" s="379"/>
    </row>
    <row r="281" spans="2:12" ht="11.1" customHeight="1">
      <c r="B281" s="526"/>
      <c r="C281" s="390" t="s">
        <v>844</v>
      </c>
      <c r="D281" s="431"/>
      <c r="E281" s="527"/>
      <c r="F281" s="441" t="s">
        <v>845</v>
      </c>
      <c r="G281" s="395"/>
      <c r="H281" s="516"/>
      <c r="I281" s="517"/>
      <c r="J281" s="418"/>
      <c r="K281" s="412">
        <f t="shared" si="31"/>
        <v>0</v>
      </c>
      <c r="L281" s="379"/>
    </row>
    <row r="282" spans="2:12" ht="11.1" customHeight="1">
      <c r="B282" s="526"/>
      <c r="C282" s="390"/>
      <c r="D282" s="431" t="s">
        <v>846</v>
      </c>
      <c r="E282" s="522"/>
      <c r="F282" s="441" t="s">
        <v>847</v>
      </c>
      <c r="G282" s="395"/>
      <c r="H282" s="516"/>
      <c r="I282" s="517"/>
      <c r="J282" s="418"/>
      <c r="K282" s="412">
        <f t="shared" si="31"/>
        <v>0</v>
      </c>
      <c r="L282" s="379"/>
    </row>
    <row r="283" spans="2:12" ht="11.1" customHeight="1">
      <c r="B283" s="526"/>
      <c r="C283" s="413"/>
      <c r="D283" s="431" t="s">
        <v>848</v>
      </c>
      <c r="E283" s="522" t="s">
        <v>849</v>
      </c>
      <c r="F283" s="441" t="s">
        <v>850</v>
      </c>
      <c r="G283" s="395"/>
      <c r="H283" s="516"/>
      <c r="I283" s="517"/>
      <c r="J283" s="418"/>
      <c r="K283" s="412">
        <f t="shared" si="31"/>
        <v>0</v>
      </c>
      <c r="L283" s="379"/>
    </row>
    <row r="284" spans="2:12" ht="11.1" customHeight="1">
      <c r="B284" s="380"/>
      <c r="C284" s="315"/>
      <c r="D284" s="431"/>
      <c r="E284" s="522"/>
      <c r="F284" s="441" t="s">
        <v>851</v>
      </c>
      <c r="G284" s="395"/>
      <c r="H284" s="516"/>
      <c r="I284" s="517"/>
      <c r="J284" s="418"/>
      <c r="K284" s="412">
        <f t="shared" si="31"/>
        <v>0</v>
      </c>
      <c r="L284" s="379"/>
    </row>
    <row r="285" spans="2:12" ht="11.1" customHeight="1">
      <c r="B285" s="380"/>
      <c r="C285" s="315"/>
      <c r="D285" s="431"/>
      <c r="E285" s="524"/>
      <c r="F285" s="441" t="s">
        <v>852</v>
      </c>
      <c r="G285" s="395"/>
      <c r="H285" s="516"/>
      <c r="I285" s="517"/>
      <c r="J285" s="418"/>
      <c r="K285" s="412">
        <f t="shared" si="31"/>
        <v>0</v>
      </c>
      <c r="L285" s="379"/>
    </row>
    <row r="286" spans="2:12" ht="11.1" customHeight="1">
      <c r="B286" s="380"/>
      <c r="C286" s="390"/>
      <c r="D286" s="431"/>
      <c r="E286" s="522"/>
      <c r="F286" s="441" t="s">
        <v>853</v>
      </c>
      <c r="G286" s="395"/>
      <c r="H286" s="516"/>
      <c r="I286" s="517"/>
      <c r="J286" s="418"/>
      <c r="K286" s="412">
        <f t="shared" si="31"/>
        <v>0</v>
      </c>
      <c r="L286" s="379"/>
    </row>
    <row r="287" spans="2:12" ht="11.1" customHeight="1">
      <c r="B287" s="380"/>
      <c r="C287" s="390"/>
      <c r="D287" s="431"/>
      <c r="E287" s="522"/>
      <c r="F287" s="441" t="s">
        <v>854</v>
      </c>
      <c r="G287" s="395"/>
      <c r="H287" s="516"/>
      <c r="I287" s="517"/>
      <c r="J287" s="418"/>
      <c r="K287" s="412">
        <f t="shared" si="31"/>
        <v>0</v>
      </c>
      <c r="L287" s="379"/>
    </row>
    <row r="288" spans="2:12" ht="11.1" customHeight="1">
      <c r="B288" s="380"/>
      <c r="C288" s="390"/>
      <c r="D288" s="431"/>
      <c r="E288" s="522"/>
      <c r="F288" s="441" t="s">
        <v>855</v>
      </c>
      <c r="G288" s="395"/>
      <c r="H288" s="516"/>
      <c r="I288" s="517"/>
      <c r="J288" s="418"/>
      <c r="K288" s="412">
        <f t="shared" si="31"/>
        <v>0</v>
      </c>
      <c r="L288" s="379"/>
    </row>
    <row r="289" spans="2:12" ht="11.1" customHeight="1">
      <c r="B289" s="380"/>
      <c r="C289" s="390"/>
      <c r="D289" s="431"/>
      <c r="E289" s="522" t="s">
        <v>856</v>
      </c>
      <c r="F289" s="528" t="s">
        <v>857</v>
      </c>
      <c r="G289" s="395"/>
      <c r="H289" s="516"/>
      <c r="I289" s="517"/>
      <c r="J289" s="418"/>
      <c r="K289" s="412">
        <f t="shared" si="31"/>
        <v>0</v>
      </c>
      <c r="L289" s="379"/>
    </row>
    <row r="290" spans="2:12" ht="11.1" customHeight="1">
      <c r="B290" s="380"/>
      <c r="C290" s="390"/>
      <c r="D290" s="431"/>
      <c r="E290" s="522"/>
      <c r="F290" s="528" t="s">
        <v>858</v>
      </c>
      <c r="G290" s="395"/>
      <c r="H290" s="516"/>
      <c r="I290" s="517"/>
      <c r="J290" s="418"/>
      <c r="K290" s="412">
        <f t="shared" si="31"/>
        <v>0</v>
      </c>
      <c r="L290" s="379"/>
    </row>
    <row r="291" spans="2:12" ht="11.1" customHeight="1">
      <c r="B291" s="380"/>
      <c r="C291" s="390"/>
      <c r="D291" s="431"/>
      <c r="E291" s="522"/>
      <c r="F291" s="441" t="s">
        <v>859</v>
      </c>
      <c r="G291" s="395"/>
      <c r="H291" s="516"/>
      <c r="I291" s="517"/>
      <c r="J291" s="418"/>
      <c r="K291" s="412">
        <f t="shared" si="31"/>
        <v>0</v>
      </c>
      <c r="L291" s="379"/>
    </row>
    <row r="292" spans="2:12" ht="11.1" customHeight="1">
      <c r="B292" s="526"/>
      <c r="C292" s="315"/>
      <c r="D292" s="431"/>
      <c r="E292" s="522"/>
      <c r="F292" s="441" t="s">
        <v>860</v>
      </c>
      <c r="G292" s="395"/>
      <c r="H292" s="520"/>
      <c r="I292" s="521"/>
      <c r="J292" s="418"/>
      <c r="K292" s="412">
        <f t="shared" si="31"/>
        <v>0</v>
      </c>
      <c r="L292" s="379"/>
    </row>
    <row r="293" spans="2:12" ht="11.1" customHeight="1">
      <c r="B293" s="526"/>
      <c r="C293" s="419"/>
      <c r="D293" s="431"/>
      <c r="E293" s="433" t="s">
        <v>606</v>
      </c>
      <c r="F293" s="356"/>
      <c r="G293" s="456"/>
      <c r="H293" s="457"/>
      <c r="I293" s="458"/>
      <c r="J293" s="377"/>
      <c r="K293" s="378"/>
      <c r="L293" s="402"/>
    </row>
    <row r="294" spans="2:12" ht="11.1" customHeight="1">
      <c r="B294" s="365"/>
      <c r="C294" s="427"/>
      <c r="D294" s="434"/>
      <c r="E294" s="435"/>
      <c r="F294" s="364"/>
      <c r="G294" s="447"/>
      <c r="H294" s="448"/>
      <c r="I294" s="449"/>
      <c r="J294" s="453">
        <f>ROUND(SUM(J271:J292),2)</f>
        <v>27653.99</v>
      </c>
      <c r="K294" s="404" t="s">
        <v>560</v>
      </c>
      <c r="L294" s="369">
        <f>IF(J$334=0,0,100*J294/J$334)</f>
        <v>21.535327520646209</v>
      </c>
    </row>
    <row r="295" spans="2:12" ht="11.1" customHeight="1">
      <c r="B295" s="380"/>
      <c r="C295" s="428"/>
      <c r="D295" s="429"/>
      <c r="E295" s="430" t="s">
        <v>861</v>
      </c>
      <c r="F295" s="408"/>
      <c r="G295" s="395"/>
      <c r="H295" s="516"/>
      <c r="I295" s="517"/>
      <c r="J295" s="418"/>
      <c r="K295" s="412">
        <f t="shared" ref="K295:K301" si="32">IF(J$303=0,0,100*J295/J$303)</f>
        <v>0</v>
      </c>
      <c r="L295" s="379"/>
    </row>
    <row r="296" spans="2:12" ht="11.1" customHeight="1">
      <c r="B296" s="380"/>
      <c r="C296" s="419"/>
      <c r="D296" s="431"/>
      <c r="E296" s="430" t="s">
        <v>862</v>
      </c>
      <c r="F296" s="408"/>
      <c r="G296" s="395"/>
      <c r="H296" s="516"/>
      <c r="I296" s="517"/>
      <c r="J296" s="418"/>
      <c r="K296" s="412">
        <f t="shared" si="32"/>
        <v>0</v>
      </c>
      <c r="L296" s="379"/>
    </row>
    <row r="297" spans="2:12" ht="11.1" customHeight="1">
      <c r="B297" s="380"/>
      <c r="C297" s="419"/>
      <c r="D297" s="431"/>
      <c r="E297" s="430" t="s">
        <v>863</v>
      </c>
      <c r="F297" s="408"/>
      <c r="G297" s="395"/>
      <c r="H297" s="516"/>
      <c r="I297" s="517"/>
      <c r="J297" s="418">
        <f>SUM('LISTA MATERIAIS'!H219:H258)</f>
        <v>5949.8166666666666</v>
      </c>
      <c r="K297" s="412">
        <f t="shared" si="32"/>
        <v>99.999943975896187</v>
      </c>
      <c r="L297" s="379"/>
    </row>
    <row r="298" spans="2:12" ht="11.1" customHeight="1">
      <c r="B298" s="380"/>
      <c r="C298" s="390" t="s">
        <v>864</v>
      </c>
      <c r="D298" s="431"/>
      <c r="E298" s="430" t="s">
        <v>865</v>
      </c>
      <c r="F298" s="408"/>
      <c r="G298" s="395"/>
      <c r="H298" s="516"/>
      <c r="I298" s="517"/>
      <c r="J298" s="418"/>
      <c r="K298" s="412">
        <f t="shared" si="32"/>
        <v>0</v>
      </c>
      <c r="L298" s="379"/>
    </row>
    <row r="299" spans="2:12" ht="11.1" customHeight="1">
      <c r="B299" s="380"/>
      <c r="C299" s="390"/>
      <c r="D299" s="431" t="s">
        <v>866</v>
      </c>
      <c r="E299" s="430" t="s">
        <v>867</v>
      </c>
      <c r="F299" s="408"/>
      <c r="G299" s="395"/>
      <c r="H299" s="516"/>
      <c r="I299" s="517"/>
      <c r="J299" s="418"/>
      <c r="K299" s="412">
        <f t="shared" si="32"/>
        <v>0</v>
      </c>
      <c r="L299" s="379"/>
    </row>
    <row r="300" spans="2:12" ht="11.1" customHeight="1">
      <c r="B300" s="380"/>
      <c r="C300" s="390"/>
      <c r="D300" s="431"/>
      <c r="E300" s="430" t="s">
        <v>868</v>
      </c>
      <c r="F300" s="408"/>
      <c r="G300" s="395"/>
      <c r="H300" s="516"/>
      <c r="I300" s="517"/>
      <c r="J300" s="418"/>
      <c r="K300" s="412">
        <f t="shared" si="32"/>
        <v>0</v>
      </c>
      <c r="L300" s="379"/>
    </row>
    <row r="301" spans="2:12" ht="11.1" customHeight="1">
      <c r="B301" s="380"/>
      <c r="C301" s="419"/>
      <c r="D301" s="431"/>
      <c r="E301" s="430" t="s">
        <v>869</v>
      </c>
      <c r="F301" s="408"/>
      <c r="G301" s="395"/>
      <c r="H301" s="520"/>
      <c r="I301" s="521"/>
      <c r="J301" s="418"/>
      <c r="K301" s="412">
        <f t="shared" si="32"/>
        <v>0</v>
      </c>
      <c r="L301" s="379"/>
    </row>
    <row r="302" spans="2:12" ht="11.1" customHeight="1">
      <c r="B302" s="380"/>
      <c r="C302" s="419"/>
      <c r="D302" s="431"/>
      <c r="E302" s="433" t="s">
        <v>606</v>
      </c>
      <c r="F302" s="356"/>
      <c r="G302" s="456"/>
      <c r="H302" s="457"/>
      <c r="I302" s="458"/>
      <c r="J302" s="377"/>
      <c r="K302" s="378"/>
      <c r="L302" s="402"/>
    </row>
    <row r="303" spans="2:12" ht="11.1" customHeight="1">
      <c r="B303" s="479"/>
      <c r="C303" s="427"/>
      <c r="D303" s="434"/>
      <c r="E303" s="435"/>
      <c r="F303" s="364"/>
      <c r="G303" s="475"/>
      <c r="H303" s="448"/>
      <c r="I303" s="449"/>
      <c r="J303" s="453">
        <f>ROUND(SUM(J295:J301),2)</f>
        <v>5949.82</v>
      </c>
      <c r="K303" s="404" t="s">
        <v>560</v>
      </c>
      <c r="L303" s="369">
        <f>IF(J$334=0,0,100*J303/J$334)</f>
        <v>4.6333755956696026</v>
      </c>
    </row>
    <row r="304" spans="2:12" ht="11.1" customHeight="1">
      <c r="B304" s="405"/>
      <c r="C304" s="428"/>
      <c r="D304" s="429"/>
      <c r="E304" s="430" t="s">
        <v>870</v>
      </c>
      <c r="F304" s="408"/>
      <c r="G304" s="383"/>
      <c r="H304" s="516"/>
      <c r="I304" s="517"/>
      <c r="J304" s="418"/>
      <c r="K304" s="412">
        <f>IF(J$309=0,0,100*J304/J$309)</f>
        <v>0</v>
      </c>
      <c r="L304" s="379"/>
    </row>
    <row r="305" spans="2:12" ht="11.1" customHeight="1">
      <c r="B305" s="405"/>
      <c r="C305" s="390"/>
      <c r="D305" s="431"/>
      <c r="E305" s="430" t="s">
        <v>871</v>
      </c>
      <c r="F305" s="408"/>
      <c r="G305" s="395"/>
      <c r="H305" s="516"/>
      <c r="I305" s="517"/>
      <c r="J305" s="418"/>
      <c r="K305" s="412">
        <f>IF(J$309=0,0,100*J305/J$309)</f>
        <v>0</v>
      </c>
      <c r="L305" s="379"/>
    </row>
    <row r="306" spans="2:12" ht="11.1" customHeight="1">
      <c r="B306" s="405"/>
      <c r="C306" s="390" t="s">
        <v>872</v>
      </c>
      <c r="D306" s="431"/>
      <c r="E306" s="430" t="s">
        <v>873</v>
      </c>
      <c r="F306" s="408"/>
      <c r="G306" s="395"/>
      <c r="H306" s="516"/>
      <c r="I306" s="517"/>
      <c r="J306" s="418"/>
      <c r="K306" s="412">
        <f>IF(J$309=0,0,100*J306/J$309)</f>
        <v>0</v>
      </c>
      <c r="L306" s="379"/>
    </row>
    <row r="307" spans="2:12" ht="11.1" customHeight="1">
      <c r="B307" s="380"/>
      <c r="C307" s="419"/>
      <c r="D307" s="431" t="s">
        <v>874</v>
      </c>
      <c r="E307" s="430" t="s">
        <v>875</v>
      </c>
      <c r="F307" s="408"/>
      <c r="G307" s="395"/>
      <c r="H307" s="520"/>
      <c r="I307" s="521"/>
      <c r="J307" s="418"/>
      <c r="K307" s="412">
        <f>IF(J$309=0,0,100*J307/J$309)</f>
        <v>0</v>
      </c>
      <c r="L307" s="379"/>
    </row>
    <row r="308" spans="2:12" ht="11.1" customHeight="1">
      <c r="B308" s="380"/>
      <c r="C308" s="419"/>
      <c r="D308" s="431"/>
      <c r="E308" s="433" t="s">
        <v>606</v>
      </c>
      <c r="F308" s="356"/>
      <c r="G308" s="456"/>
      <c r="H308" s="457"/>
      <c r="I308" s="458"/>
      <c r="J308" s="377"/>
      <c r="K308" s="378"/>
      <c r="L308" s="402"/>
    </row>
    <row r="309" spans="2:12" ht="11.1" customHeight="1">
      <c r="B309" s="380" t="s">
        <v>825</v>
      </c>
      <c r="C309" s="427"/>
      <c r="D309" s="434"/>
      <c r="E309" s="435"/>
      <c r="F309" s="364"/>
      <c r="G309" s="447"/>
      <c r="H309" s="448"/>
      <c r="I309" s="449"/>
      <c r="J309" s="453">
        <f>ROUND(SUM(J304:J307),2)</f>
        <v>0</v>
      </c>
      <c r="K309" s="404" t="s">
        <v>560</v>
      </c>
      <c r="L309" s="369">
        <f>IF(J$334=0,0,100*J309/J$334)</f>
        <v>0</v>
      </c>
    </row>
    <row r="310" spans="2:12" ht="11.1" customHeight="1">
      <c r="B310" s="380" t="s">
        <v>826</v>
      </c>
      <c r="C310" s="428"/>
      <c r="D310" s="429"/>
      <c r="E310" s="522"/>
      <c r="F310" s="441" t="s">
        <v>876</v>
      </c>
      <c r="G310" s="395" t="s">
        <v>877</v>
      </c>
      <c r="H310" s="529">
        <f>'LISTA MATERIAIS'!F92</f>
        <v>5</v>
      </c>
      <c r="I310" s="530">
        <f>'LISTA MATERIAIS'!G92</f>
        <v>320</v>
      </c>
      <c r="J310" s="411">
        <f t="shared" ref="J310:J315" si="33">H310*I310</f>
        <v>1600</v>
      </c>
      <c r="K310" s="412">
        <f t="shared" ref="K310:K315" si="34">IF(J$317=0,0,100*J310/J$317)</f>
        <v>42.780748663101605</v>
      </c>
      <c r="L310" s="379"/>
    </row>
    <row r="311" spans="2:12" ht="11.1" customHeight="1">
      <c r="B311" s="380" t="s">
        <v>828</v>
      </c>
      <c r="C311" s="419"/>
      <c r="D311" s="431"/>
      <c r="E311" s="522"/>
      <c r="F311" s="441" t="s">
        <v>878</v>
      </c>
      <c r="G311" s="395" t="s">
        <v>877</v>
      </c>
      <c r="H311" s="529">
        <f>'LISTA MATERIAIS'!F93</f>
        <v>6</v>
      </c>
      <c r="I311" s="530">
        <f>'LISTA MATERIAIS'!G93</f>
        <v>170</v>
      </c>
      <c r="J311" s="411">
        <f t="shared" si="33"/>
        <v>1020</v>
      </c>
      <c r="K311" s="412">
        <f t="shared" si="34"/>
        <v>27.272727272727273</v>
      </c>
      <c r="L311" s="379"/>
    </row>
    <row r="312" spans="2:12" ht="11.1" customHeight="1">
      <c r="B312" s="380"/>
      <c r="C312" s="390" t="s">
        <v>879</v>
      </c>
      <c r="D312" s="431"/>
      <c r="E312" s="522" t="s">
        <v>880</v>
      </c>
      <c r="F312" s="441" t="s">
        <v>881</v>
      </c>
      <c r="G312" s="395" t="s">
        <v>877</v>
      </c>
      <c r="H312" s="529">
        <f>'LISTA MATERIAIS'!F95</f>
        <v>1</v>
      </c>
      <c r="I312" s="530">
        <f>'LISTA MATERIAIS'!G95</f>
        <v>260</v>
      </c>
      <c r="J312" s="411">
        <f t="shared" si="33"/>
        <v>260</v>
      </c>
      <c r="K312" s="412">
        <f t="shared" si="34"/>
        <v>6.9518716577540109</v>
      </c>
      <c r="L312" s="379"/>
    </row>
    <row r="313" spans="2:12" ht="11.1" customHeight="1">
      <c r="B313" s="380" t="s">
        <v>548</v>
      </c>
      <c r="C313" s="390"/>
      <c r="D313" s="431"/>
      <c r="E313" s="523" t="s">
        <v>882</v>
      </c>
      <c r="F313" s="441" t="s">
        <v>883</v>
      </c>
      <c r="G313" s="395" t="s">
        <v>877</v>
      </c>
      <c r="H313" s="529">
        <f>'LISTA MATERIAIS'!F94</f>
        <v>2</v>
      </c>
      <c r="I313" s="530">
        <v>350</v>
      </c>
      <c r="J313" s="411">
        <f t="shared" si="33"/>
        <v>700</v>
      </c>
      <c r="K313" s="412">
        <f t="shared" si="34"/>
        <v>18.71657754010695</v>
      </c>
      <c r="L313" s="379"/>
    </row>
    <row r="314" spans="2:12" ht="11.1" customHeight="1">
      <c r="B314" s="380"/>
      <c r="C314" s="390"/>
      <c r="D314" s="431"/>
      <c r="E314" s="522"/>
      <c r="F314" s="441" t="s">
        <v>884</v>
      </c>
      <c r="G314" s="395" t="s">
        <v>877</v>
      </c>
      <c r="H314" s="529">
        <f>'LISTA MATERIAIS'!F94</f>
        <v>2</v>
      </c>
      <c r="I314" s="530">
        <v>80</v>
      </c>
      <c r="J314" s="411">
        <f t="shared" si="33"/>
        <v>160</v>
      </c>
      <c r="K314" s="412">
        <f t="shared" si="34"/>
        <v>4.2780748663101607</v>
      </c>
      <c r="L314" s="379"/>
    </row>
    <row r="315" spans="2:12" ht="11.1" customHeight="1">
      <c r="B315" s="380" t="s">
        <v>835</v>
      </c>
      <c r="C315" s="390"/>
      <c r="D315" s="431"/>
      <c r="E315" s="524"/>
      <c r="F315" s="441" t="s">
        <v>885</v>
      </c>
      <c r="G315" s="395"/>
      <c r="H315" s="529"/>
      <c r="I315" s="530"/>
      <c r="J315" s="411">
        <f t="shared" si="33"/>
        <v>0</v>
      </c>
      <c r="K315" s="412">
        <f t="shared" si="34"/>
        <v>0</v>
      </c>
      <c r="L315" s="379"/>
    </row>
    <row r="316" spans="2:12" ht="11.1" customHeight="1">
      <c r="B316" s="380" t="s">
        <v>837</v>
      </c>
      <c r="C316" s="390"/>
      <c r="D316" s="431"/>
      <c r="E316" s="433" t="s">
        <v>606</v>
      </c>
      <c r="F316" s="356"/>
      <c r="G316" s="456"/>
      <c r="H316" s="457"/>
      <c r="I316" s="458"/>
      <c r="J316" s="377"/>
      <c r="K316" s="378"/>
      <c r="L316" s="402"/>
    </row>
    <row r="317" spans="2:12" ht="11.1" customHeight="1">
      <c r="B317" s="380"/>
      <c r="C317" s="390"/>
      <c r="D317" s="431"/>
      <c r="E317" s="435"/>
      <c r="F317" s="364"/>
      <c r="G317" s="456"/>
      <c r="H317" s="457"/>
      <c r="I317" s="458"/>
      <c r="J317" s="453">
        <f>ROUND(SUM(J310:J315),2)</f>
        <v>3740</v>
      </c>
      <c r="K317" s="404" t="s">
        <v>560</v>
      </c>
      <c r="L317" s="369">
        <f>IF(J$334=0,0,100*J317/J$334)</f>
        <v>2.9124956263894224</v>
      </c>
    </row>
    <row r="318" spans="2:12" ht="11.1" customHeight="1">
      <c r="B318" s="380"/>
      <c r="C318" s="390"/>
      <c r="D318" s="431"/>
      <c r="E318" s="392"/>
      <c r="F318" s="531" t="s">
        <v>886</v>
      </c>
      <c r="G318" s="487" t="s">
        <v>338</v>
      </c>
      <c r="H318" s="409"/>
      <c r="I318" s="410"/>
      <c r="J318" s="367">
        <f>H318*I318</f>
        <v>0</v>
      </c>
      <c r="K318" s="412">
        <f>IF(J$324=0,0,100*J318/J$324)</f>
        <v>0</v>
      </c>
      <c r="L318" s="488"/>
    </row>
    <row r="319" spans="2:12" ht="11.1" customHeight="1">
      <c r="B319" s="380"/>
      <c r="C319" s="390"/>
      <c r="D319" s="431"/>
      <c r="E319" s="392" t="s">
        <v>887</v>
      </c>
      <c r="F319" s="531" t="s">
        <v>888</v>
      </c>
      <c r="G319" s="487" t="s">
        <v>338</v>
      </c>
      <c r="H319" s="409"/>
      <c r="I319" s="410"/>
      <c r="J319" s="367">
        <f>H319*I319</f>
        <v>0</v>
      </c>
      <c r="K319" s="412">
        <f>IF(J$324=0,0,100*J319/J$324)</f>
        <v>0</v>
      </c>
      <c r="L319" s="488"/>
    </row>
    <row r="320" spans="2:12" ht="11.1" customHeight="1">
      <c r="B320" s="380"/>
      <c r="C320" s="390"/>
      <c r="D320" s="431"/>
      <c r="E320" s="392" t="s">
        <v>889</v>
      </c>
      <c r="F320" s="531" t="s">
        <v>890</v>
      </c>
      <c r="G320" s="487" t="s">
        <v>338</v>
      </c>
      <c r="H320" s="409"/>
      <c r="I320" s="410"/>
      <c r="J320" s="367">
        <f>H320*I320</f>
        <v>0</v>
      </c>
      <c r="K320" s="412">
        <f>IF(J$324=0,0,100*J320/J$324)</f>
        <v>0</v>
      </c>
      <c r="L320" s="488"/>
    </row>
    <row r="321" spans="2:12" ht="11.1" customHeight="1">
      <c r="B321" s="414"/>
      <c r="C321" s="390"/>
      <c r="D321" s="431"/>
      <c r="E321" s="392"/>
      <c r="F321" s="531" t="s">
        <v>891</v>
      </c>
      <c r="G321" s="487" t="s">
        <v>338</v>
      </c>
      <c r="H321" s="409"/>
      <c r="I321" s="410"/>
      <c r="J321" s="367">
        <f>H321*I321</f>
        <v>0</v>
      </c>
      <c r="K321" s="412">
        <f>IF(J$324=0,0,100*J321/J$324)</f>
        <v>0</v>
      </c>
      <c r="L321" s="488"/>
    </row>
    <row r="322" spans="2:12" ht="11.1" customHeight="1">
      <c r="B322" s="405"/>
      <c r="C322" s="390"/>
      <c r="D322" s="431"/>
      <c r="E322" s="392"/>
      <c r="F322" s="531" t="s">
        <v>892</v>
      </c>
      <c r="G322" s="487"/>
      <c r="H322" s="409"/>
      <c r="I322" s="410"/>
      <c r="J322" s="367">
        <f>H322*I322</f>
        <v>0</v>
      </c>
      <c r="K322" s="412">
        <f>IF(J$324=0,0,100*J322/J$324)</f>
        <v>0</v>
      </c>
      <c r="L322" s="488"/>
    </row>
    <row r="323" spans="2:12" ht="11.1" customHeight="1">
      <c r="B323" s="405"/>
      <c r="C323" s="390"/>
      <c r="D323" s="431"/>
      <c r="E323" s="433" t="s">
        <v>606</v>
      </c>
      <c r="F323" s="356"/>
      <c r="G323" s="456"/>
      <c r="H323" s="457"/>
      <c r="I323" s="458"/>
      <c r="J323" s="377"/>
      <c r="K323" s="378"/>
      <c r="L323" s="402"/>
    </row>
    <row r="324" spans="2:12" ht="11.1" customHeight="1">
      <c r="B324" s="380"/>
      <c r="C324" s="419"/>
      <c r="D324" s="431"/>
      <c r="E324" s="435"/>
      <c r="F324" s="364"/>
      <c r="G324" s="456"/>
      <c r="H324" s="457"/>
      <c r="I324" s="458"/>
      <c r="J324" s="453">
        <f>ROUND(SUM(J318:J322),2)</f>
        <v>0</v>
      </c>
      <c r="K324" s="404" t="s">
        <v>560</v>
      </c>
      <c r="L324" s="369">
        <f>IF(J$334=0,0,100*J324/J$334)</f>
        <v>0</v>
      </c>
    </row>
    <row r="325" spans="2:12" ht="11.1" customHeight="1">
      <c r="B325" s="380"/>
      <c r="C325" s="371" t="s">
        <v>559</v>
      </c>
      <c r="D325" s="354"/>
      <c r="E325" s="373"/>
      <c r="F325" s="356"/>
      <c r="G325" s="456"/>
      <c r="H325" s="457"/>
      <c r="I325" s="458"/>
      <c r="J325" s="377"/>
      <c r="K325" s="532"/>
      <c r="L325" s="379"/>
    </row>
    <row r="326" spans="2:12" ht="11.1" customHeight="1">
      <c r="B326" s="361"/>
      <c r="C326" s="427"/>
      <c r="D326" s="362"/>
      <c r="E326" s="363"/>
      <c r="F326" s="364"/>
      <c r="G326" s="447"/>
      <c r="H326" s="448"/>
      <c r="I326" s="449"/>
      <c r="J326" s="403">
        <f>J324+J317+J309+J303+J294+J270</f>
        <v>96453.81</v>
      </c>
      <c r="K326" s="460"/>
      <c r="L326" s="462"/>
    </row>
    <row r="327" spans="2:12" ht="11.1" customHeight="1">
      <c r="B327" s="370" t="s">
        <v>893</v>
      </c>
      <c r="C327" s="422" t="s">
        <v>894</v>
      </c>
      <c r="D327" s="533" t="s">
        <v>895</v>
      </c>
      <c r="E327" s="424"/>
      <c r="F327" s="408"/>
      <c r="G327" s="395"/>
      <c r="H327" s="516"/>
      <c r="I327" s="517"/>
      <c r="J327" s="418">
        <v>2500</v>
      </c>
      <c r="K327" s="532"/>
      <c r="L327" s="369">
        <f>IF(J$334=0,0,100*J327/J$334)</f>
        <v>1.9468553652335709</v>
      </c>
    </row>
    <row r="328" spans="2:12" ht="11.1" customHeight="1">
      <c r="B328" s="380" t="s">
        <v>896</v>
      </c>
      <c r="C328" s="422" t="s">
        <v>897</v>
      </c>
      <c r="D328" s="533"/>
      <c r="E328" s="534"/>
      <c r="F328" s="535"/>
      <c r="G328" s="395"/>
      <c r="H328" s="516"/>
      <c r="I328" s="517"/>
      <c r="J328" s="418">
        <v>5500</v>
      </c>
      <c r="K328" s="532"/>
      <c r="L328" s="369">
        <f>IF(J$334=0,0,100*J328/J$334)</f>
        <v>4.2830818035138565</v>
      </c>
    </row>
    <row r="329" spans="2:12" ht="11.1" customHeight="1">
      <c r="B329" s="380" t="s">
        <v>898</v>
      </c>
      <c r="C329" s="422" t="s">
        <v>899</v>
      </c>
      <c r="D329" s="533"/>
      <c r="E329" s="534"/>
      <c r="F329" s="408"/>
      <c r="G329" s="395"/>
      <c r="H329" s="516"/>
      <c r="I329" s="517"/>
      <c r="J329" s="418"/>
      <c r="K329" s="532"/>
      <c r="L329" s="369">
        <f>IF(J$334=0,0,100*J329/J$334)</f>
        <v>0</v>
      </c>
    </row>
    <row r="330" spans="2:12" ht="11.1" customHeight="1">
      <c r="B330" s="380" t="s">
        <v>770</v>
      </c>
      <c r="C330" s="371" t="s">
        <v>559</v>
      </c>
      <c r="D330" s="354"/>
      <c r="E330" s="373"/>
      <c r="F330" s="356"/>
      <c r="G330" s="456"/>
      <c r="H330" s="457"/>
      <c r="I330" s="458"/>
      <c r="J330" s="377"/>
      <c r="K330" s="532"/>
      <c r="L330" s="379"/>
    </row>
    <row r="331" spans="2:12" ht="11.1" customHeight="1">
      <c r="B331" s="365" t="s">
        <v>900</v>
      </c>
      <c r="C331" s="427"/>
      <c r="D331" s="362"/>
      <c r="E331" s="363"/>
      <c r="F331" s="364"/>
      <c r="G331" s="447"/>
      <c r="H331" s="448"/>
      <c r="I331" s="449"/>
      <c r="J331" s="403">
        <f>ROUND(SUM(J327:J329),2)</f>
        <v>8000</v>
      </c>
      <c r="K331" s="484"/>
      <c r="L331" s="462"/>
    </row>
    <row r="332" spans="2:12" ht="11.1" customHeight="1">
      <c r="B332" s="536"/>
      <c r="C332" s="362"/>
      <c r="D332" s="362"/>
      <c r="E332" s="363"/>
      <c r="H332" s="539"/>
      <c r="L332" s="541"/>
    </row>
    <row r="333" spans="2:12" ht="11.1" customHeight="1">
      <c r="B333" s="394"/>
      <c r="C333" s="354"/>
      <c r="F333" s="373"/>
      <c r="G333" s="542"/>
      <c r="H333" s="543"/>
      <c r="I333" s="544"/>
      <c r="J333" s="377"/>
      <c r="K333" s="545"/>
      <c r="L333" s="402"/>
    </row>
    <row r="334" spans="2:12" ht="11.1" customHeight="1">
      <c r="B334" s="361"/>
      <c r="C334" s="546" t="s">
        <v>901</v>
      </c>
      <c r="D334" s="362"/>
      <c r="E334" s="547"/>
      <c r="F334" s="363"/>
      <c r="G334" s="548"/>
      <c r="H334" s="549"/>
      <c r="I334" s="550"/>
      <c r="J334" s="450">
        <f>J331+J326+J251+J197+J135+J110+J55+J50+J34</f>
        <v>128412.20999999999</v>
      </c>
      <c r="K334" s="551"/>
      <c r="L334" s="552" t="s">
        <v>560</v>
      </c>
    </row>
    <row r="335" spans="2:12" ht="11.1" customHeight="1"/>
    <row r="336" spans="2:12" ht="11.1" customHeight="1">
      <c r="B336" s="553"/>
      <c r="C336" s="554" t="s">
        <v>902</v>
      </c>
      <c r="D336" s="426"/>
      <c r="E336" s="424"/>
      <c r="F336" s="424"/>
      <c r="G336" s="536"/>
      <c r="H336" s="555"/>
      <c r="I336" s="556"/>
      <c r="J336" s="557"/>
      <c r="K336" s="558">
        <f>1+J336/100</f>
        <v>1</v>
      </c>
    </row>
    <row r="337" spans="2:12" ht="11.1" customHeight="1"/>
    <row r="338" spans="2:12" ht="11.1" customHeight="1">
      <c r="B338" s="553"/>
      <c r="C338" s="559" t="s">
        <v>903</v>
      </c>
      <c r="D338" s="426"/>
      <c r="E338" s="424"/>
      <c r="F338" s="424"/>
      <c r="G338" s="536"/>
      <c r="H338" s="555"/>
      <c r="I338" s="556"/>
      <c r="J338" s="560">
        <f>ROUND(J334*K336,2)</f>
        <v>128412.21</v>
      </c>
    </row>
    <row r="342" spans="2:12" ht="11.25">
      <c r="B342" s="1145">
        <f>+J18</f>
        <v>0</v>
      </c>
      <c r="C342" s="1145"/>
      <c r="E342" s="452"/>
      <c r="J342" s="561"/>
    </row>
    <row r="343" spans="2:12" ht="12.75" customHeight="1">
      <c r="B343" s="1146" t="s">
        <v>904</v>
      </c>
      <c r="C343" s="1146"/>
      <c r="D343" s="480"/>
      <c r="E343" s="562" t="s">
        <v>905</v>
      </c>
      <c r="F343" s="373"/>
      <c r="G343" s="542"/>
      <c r="I343" s="563"/>
      <c r="J343" s="1146" t="s">
        <v>906</v>
      </c>
      <c r="K343" s="1146"/>
      <c r="L343" s="1146"/>
    </row>
    <row r="344" spans="2:12" ht="12.75">
      <c r="E344" s="564" t="s">
        <v>907</v>
      </c>
      <c r="F344" s="565">
        <f>+J14</f>
        <v>0</v>
      </c>
      <c r="G344" s="564"/>
      <c r="H344" s="564"/>
      <c r="J344" s="1147">
        <f>+D18</f>
        <v>0</v>
      </c>
      <c r="K344" s="1147"/>
      <c r="L344" s="1147"/>
    </row>
    <row r="345" spans="2:12" ht="11.25">
      <c r="E345" s="566" t="s">
        <v>908</v>
      </c>
      <c r="F345" s="567">
        <f>+J15</f>
        <v>0</v>
      </c>
      <c r="G345" s="566"/>
      <c r="J345" s="1147"/>
      <c r="K345" s="1147"/>
      <c r="L345" s="1147"/>
    </row>
    <row r="346" spans="2:12" ht="11.25">
      <c r="E346" s="566" t="s">
        <v>909</v>
      </c>
      <c r="F346" s="567">
        <f>+J16</f>
        <v>0</v>
      </c>
    </row>
  </sheetData>
  <mergeCells count="4">
    <mergeCell ref="B342:C342"/>
    <mergeCell ref="B343:C343"/>
    <mergeCell ref="J343:L343"/>
    <mergeCell ref="J344:L345"/>
  </mergeCells>
  <printOptions horizontalCentered="1"/>
  <pageMargins left="0.78740157480314965" right="0.27559055118110237" top="0.59055118110236227" bottom="0.51181102362204722" header="0.31496062992125984" footer="0.19685039370078741"/>
  <pageSetup paperSize="9" scale="89" fitToHeight="5" orientation="portrait" horizontalDpi="300" r:id="rId1"/>
  <headerFooter alignWithMargins="0">
    <oddFooter xml:space="preserve">MO 41.158 - Proponente - Unidade Isolada - Especificação, Orçamento, Cronograma </oddFooter>
  </headerFooter>
  <rowBreaks count="5" manualBreakCount="5">
    <brk id="70" min="1" max="11" man="1"/>
    <brk id="127" min="1" max="11" man="1"/>
    <brk id="186" min="1" max="11" man="1"/>
    <brk id="240" min="1" max="11" man="1"/>
    <brk id="294" min="1" max="11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F0"/>
  </sheetPr>
  <dimension ref="A1:BC70"/>
  <sheetViews>
    <sheetView showGridLines="0" view="pageBreakPreview" zoomScale="80" zoomScaleNormal="75" zoomScaleSheetLayoutView="80" workbookViewId="0">
      <selection activeCell="N46" sqref="N46"/>
    </sheetView>
  </sheetViews>
  <sheetFormatPr defaultColWidth="11.42578125" defaultRowHeight="12.75"/>
  <cols>
    <col min="1" max="1" width="1.28515625" style="568" customWidth="1"/>
    <col min="2" max="2" width="5.140625" style="568" customWidth="1"/>
    <col min="3" max="3" width="13.42578125" style="568" customWidth="1"/>
    <col min="4" max="4" width="14.140625" style="568" customWidth="1"/>
    <col min="5" max="5" width="16.42578125" style="568" customWidth="1"/>
    <col min="6" max="6" width="14.140625" style="591" customWidth="1"/>
    <col min="7" max="7" width="13" style="586" customWidth="1"/>
    <col min="8" max="11" width="9.42578125" style="568" customWidth="1"/>
    <col min="12" max="12" width="8.85546875" style="568" customWidth="1"/>
    <col min="13" max="13" width="9.28515625" style="568" customWidth="1"/>
    <col min="14" max="14" width="8.7109375" style="568" customWidth="1"/>
    <col min="15" max="16" width="9.28515625" style="568" customWidth="1"/>
    <col min="17" max="17" width="9.5703125" style="568" customWidth="1"/>
    <col min="18" max="18" width="8.28515625" style="568" customWidth="1"/>
    <col min="19" max="55" width="9.28515625" style="568" customWidth="1"/>
    <col min="56" max="256" width="11.42578125" style="568"/>
    <col min="257" max="257" width="1.28515625" style="568" customWidth="1"/>
    <col min="258" max="258" width="5.140625" style="568" customWidth="1"/>
    <col min="259" max="259" width="13.42578125" style="568" customWidth="1"/>
    <col min="260" max="260" width="14.140625" style="568" customWidth="1"/>
    <col min="261" max="261" width="16.42578125" style="568" customWidth="1"/>
    <col min="262" max="262" width="14.140625" style="568" customWidth="1"/>
    <col min="263" max="263" width="13" style="568" customWidth="1"/>
    <col min="264" max="267" width="9.42578125" style="568" customWidth="1"/>
    <col min="268" max="268" width="8.85546875" style="568" customWidth="1"/>
    <col min="269" max="269" width="9.28515625" style="568" customWidth="1"/>
    <col min="270" max="270" width="8.7109375" style="568" customWidth="1"/>
    <col min="271" max="272" width="9.28515625" style="568" customWidth="1"/>
    <col min="273" max="273" width="9.5703125" style="568" customWidth="1"/>
    <col min="274" max="274" width="8.28515625" style="568" customWidth="1"/>
    <col min="275" max="311" width="9.28515625" style="568" customWidth="1"/>
    <col min="312" max="512" width="11.42578125" style="568"/>
    <col min="513" max="513" width="1.28515625" style="568" customWidth="1"/>
    <col min="514" max="514" width="5.140625" style="568" customWidth="1"/>
    <col min="515" max="515" width="13.42578125" style="568" customWidth="1"/>
    <col min="516" max="516" width="14.140625" style="568" customWidth="1"/>
    <col min="517" max="517" width="16.42578125" style="568" customWidth="1"/>
    <col min="518" max="518" width="14.140625" style="568" customWidth="1"/>
    <col min="519" max="519" width="13" style="568" customWidth="1"/>
    <col min="520" max="523" width="9.42578125" style="568" customWidth="1"/>
    <col min="524" max="524" width="8.85546875" style="568" customWidth="1"/>
    <col min="525" max="525" width="9.28515625" style="568" customWidth="1"/>
    <col min="526" max="526" width="8.7109375" style="568" customWidth="1"/>
    <col min="527" max="528" width="9.28515625" style="568" customWidth="1"/>
    <col min="529" max="529" width="9.5703125" style="568" customWidth="1"/>
    <col min="530" max="530" width="8.28515625" style="568" customWidth="1"/>
    <col min="531" max="567" width="9.28515625" style="568" customWidth="1"/>
    <col min="568" max="768" width="11.42578125" style="568"/>
    <col min="769" max="769" width="1.28515625" style="568" customWidth="1"/>
    <col min="770" max="770" width="5.140625" style="568" customWidth="1"/>
    <col min="771" max="771" width="13.42578125" style="568" customWidth="1"/>
    <col min="772" max="772" width="14.140625" style="568" customWidth="1"/>
    <col min="773" max="773" width="16.42578125" style="568" customWidth="1"/>
    <col min="774" max="774" width="14.140625" style="568" customWidth="1"/>
    <col min="775" max="775" width="13" style="568" customWidth="1"/>
    <col min="776" max="779" width="9.42578125" style="568" customWidth="1"/>
    <col min="780" max="780" width="8.85546875" style="568" customWidth="1"/>
    <col min="781" max="781" width="9.28515625" style="568" customWidth="1"/>
    <col min="782" max="782" width="8.7109375" style="568" customWidth="1"/>
    <col min="783" max="784" width="9.28515625" style="568" customWidth="1"/>
    <col min="785" max="785" width="9.5703125" style="568" customWidth="1"/>
    <col min="786" max="786" width="8.28515625" style="568" customWidth="1"/>
    <col min="787" max="823" width="9.28515625" style="568" customWidth="1"/>
    <col min="824" max="1024" width="11.42578125" style="568"/>
    <col min="1025" max="1025" width="1.28515625" style="568" customWidth="1"/>
    <col min="1026" max="1026" width="5.140625" style="568" customWidth="1"/>
    <col min="1027" max="1027" width="13.42578125" style="568" customWidth="1"/>
    <col min="1028" max="1028" width="14.140625" style="568" customWidth="1"/>
    <col min="1029" max="1029" width="16.42578125" style="568" customWidth="1"/>
    <col min="1030" max="1030" width="14.140625" style="568" customWidth="1"/>
    <col min="1031" max="1031" width="13" style="568" customWidth="1"/>
    <col min="1032" max="1035" width="9.42578125" style="568" customWidth="1"/>
    <col min="1036" max="1036" width="8.85546875" style="568" customWidth="1"/>
    <col min="1037" max="1037" width="9.28515625" style="568" customWidth="1"/>
    <col min="1038" max="1038" width="8.7109375" style="568" customWidth="1"/>
    <col min="1039" max="1040" width="9.28515625" style="568" customWidth="1"/>
    <col min="1041" max="1041" width="9.5703125" style="568" customWidth="1"/>
    <col min="1042" max="1042" width="8.28515625" style="568" customWidth="1"/>
    <col min="1043" max="1079" width="9.28515625" style="568" customWidth="1"/>
    <col min="1080" max="1280" width="11.42578125" style="568"/>
    <col min="1281" max="1281" width="1.28515625" style="568" customWidth="1"/>
    <col min="1282" max="1282" width="5.140625" style="568" customWidth="1"/>
    <col min="1283" max="1283" width="13.42578125" style="568" customWidth="1"/>
    <col min="1284" max="1284" width="14.140625" style="568" customWidth="1"/>
    <col min="1285" max="1285" width="16.42578125" style="568" customWidth="1"/>
    <col min="1286" max="1286" width="14.140625" style="568" customWidth="1"/>
    <col min="1287" max="1287" width="13" style="568" customWidth="1"/>
    <col min="1288" max="1291" width="9.42578125" style="568" customWidth="1"/>
    <col min="1292" max="1292" width="8.85546875" style="568" customWidth="1"/>
    <col min="1293" max="1293" width="9.28515625" style="568" customWidth="1"/>
    <col min="1294" max="1294" width="8.7109375" style="568" customWidth="1"/>
    <col min="1295" max="1296" width="9.28515625" style="568" customWidth="1"/>
    <col min="1297" max="1297" width="9.5703125" style="568" customWidth="1"/>
    <col min="1298" max="1298" width="8.28515625" style="568" customWidth="1"/>
    <col min="1299" max="1335" width="9.28515625" style="568" customWidth="1"/>
    <col min="1336" max="1536" width="11.42578125" style="568"/>
    <col min="1537" max="1537" width="1.28515625" style="568" customWidth="1"/>
    <col min="1538" max="1538" width="5.140625" style="568" customWidth="1"/>
    <col min="1539" max="1539" width="13.42578125" style="568" customWidth="1"/>
    <col min="1540" max="1540" width="14.140625" style="568" customWidth="1"/>
    <col min="1541" max="1541" width="16.42578125" style="568" customWidth="1"/>
    <col min="1542" max="1542" width="14.140625" style="568" customWidth="1"/>
    <col min="1543" max="1543" width="13" style="568" customWidth="1"/>
    <col min="1544" max="1547" width="9.42578125" style="568" customWidth="1"/>
    <col min="1548" max="1548" width="8.85546875" style="568" customWidth="1"/>
    <col min="1549" max="1549" width="9.28515625" style="568" customWidth="1"/>
    <col min="1550" max="1550" width="8.7109375" style="568" customWidth="1"/>
    <col min="1551" max="1552" width="9.28515625" style="568" customWidth="1"/>
    <col min="1553" max="1553" width="9.5703125" style="568" customWidth="1"/>
    <col min="1554" max="1554" width="8.28515625" style="568" customWidth="1"/>
    <col min="1555" max="1591" width="9.28515625" style="568" customWidth="1"/>
    <col min="1592" max="1792" width="11.42578125" style="568"/>
    <col min="1793" max="1793" width="1.28515625" style="568" customWidth="1"/>
    <col min="1794" max="1794" width="5.140625" style="568" customWidth="1"/>
    <col min="1795" max="1795" width="13.42578125" style="568" customWidth="1"/>
    <col min="1796" max="1796" width="14.140625" style="568" customWidth="1"/>
    <col min="1797" max="1797" width="16.42578125" style="568" customWidth="1"/>
    <col min="1798" max="1798" width="14.140625" style="568" customWidth="1"/>
    <col min="1799" max="1799" width="13" style="568" customWidth="1"/>
    <col min="1800" max="1803" width="9.42578125" style="568" customWidth="1"/>
    <col min="1804" max="1804" width="8.85546875" style="568" customWidth="1"/>
    <col min="1805" max="1805" width="9.28515625" style="568" customWidth="1"/>
    <col min="1806" max="1806" width="8.7109375" style="568" customWidth="1"/>
    <col min="1807" max="1808" width="9.28515625" style="568" customWidth="1"/>
    <col min="1809" max="1809" width="9.5703125" style="568" customWidth="1"/>
    <col min="1810" max="1810" width="8.28515625" style="568" customWidth="1"/>
    <col min="1811" max="1847" width="9.28515625" style="568" customWidth="1"/>
    <col min="1848" max="2048" width="11.42578125" style="568"/>
    <col min="2049" max="2049" width="1.28515625" style="568" customWidth="1"/>
    <col min="2050" max="2050" width="5.140625" style="568" customWidth="1"/>
    <col min="2051" max="2051" width="13.42578125" style="568" customWidth="1"/>
    <col min="2052" max="2052" width="14.140625" style="568" customWidth="1"/>
    <col min="2053" max="2053" width="16.42578125" style="568" customWidth="1"/>
    <col min="2054" max="2054" width="14.140625" style="568" customWidth="1"/>
    <col min="2055" max="2055" width="13" style="568" customWidth="1"/>
    <col min="2056" max="2059" width="9.42578125" style="568" customWidth="1"/>
    <col min="2060" max="2060" width="8.85546875" style="568" customWidth="1"/>
    <col min="2061" max="2061" width="9.28515625" style="568" customWidth="1"/>
    <col min="2062" max="2062" width="8.7109375" style="568" customWidth="1"/>
    <col min="2063" max="2064" width="9.28515625" style="568" customWidth="1"/>
    <col min="2065" max="2065" width="9.5703125" style="568" customWidth="1"/>
    <col min="2066" max="2066" width="8.28515625" style="568" customWidth="1"/>
    <col min="2067" max="2103" width="9.28515625" style="568" customWidth="1"/>
    <col min="2104" max="2304" width="11.42578125" style="568"/>
    <col min="2305" max="2305" width="1.28515625" style="568" customWidth="1"/>
    <col min="2306" max="2306" width="5.140625" style="568" customWidth="1"/>
    <col min="2307" max="2307" width="13.42578125" style="568" customWidth="1"/>
    <col min="2308" max="2308" width="14.140625" style="568" customWidth="1"/>
    <col min="2309" max="2309" width="16.42578125" style="568" customWidth="1"/>
    <col min="2310" max="2310" width="14.140625" style="568" customWidth="1"/>
    <col min="2311" max="2311" width="13" style="568" customWidth="1"/>
    <col min="2312" max="2315" width="9.42578125" style="568" customWidth="1"/>
    <col min="2316" max="2316" width="8.85546875" style="568" customWidth="1"/>
    <col min="2317" max="2317" width="9.28515625" style="568" customWidth="1"/>
    <col min="2318" max="2318" width="8.7109375" style="568" customWidth="1"/>
    <col min="2319" max="2320" width="9.28515625" style="568" customWidth="1"/>
    <col min="2321" max="2321" width="9.5703125" style="568" customWidth="1"/>
    <col min="2322" max="2322" width="8.28515625" style="568" customWidth="1"/>
    <col min="2323" max="2359" width="9.28515625" style="568" customWidth="1"/>
    <col min="2360" max="2560" width="11.42578125" style="568"/>
    <col min="2561" max="2561" width="1.28515625" style="568" customWidth="1"/>
    <col min="2562" max="2562" width="5.140625" style="568" customWidth="1"/>
    <col min="2563" max="2563" width="13.42578125" style="568" customWidth="1"/>
    <col min="2564" max="2564" width="14.140625" style="568" customWidth="1"/>
    <col min="2565" max="2565" width="16.42578125" style="568" customWidth="1"/>
    <col min="2566" max="2566" width="14.140625" style="568" customWidth="1"/>
    <col min="2567" max="2567" width="13" style="568" customWidth="1"/>
    <col min="2568" max="2571" width="9.42578125" style="568" customWidth="1"/>
    <col min="2572" max="2572" width="8.85546875" style="568" customWidth="1"/>
    <col min="2573" max="2573" width="9.28515625" style="568" customWidth="1"/>
    <col min="2574" max="2574" width="8.7109375" style="568" customWidth="1"/>
    <col min="2575" max="2576" width="9.28515625" style="568" customWidth="1"/>
    <col min="2577" max="2577" width="9.5703125" style="568" customWidth="1"/>
    <col min="2578" max="2578" width="8.28515625" style="568" customWidth="1"/>
    <col min="2579" max="2615" width="9.28515625" style="568" customWidth="1"/>
    <col min="2616" max="2816" width="11.42578125" style="568"/>
    <col min="2817" max="2817" width="1.28515625" style="568" customWidth="1"/>
    <col min="2818" max="2818" width="5.140625" style="568" customWidth="1"/>
    <col min="2819" max="2819" width="13.42578125" style="568" customWidth="1"/>
    <col min="2820" max="2820" width="14.140625" style="568" customWidth="1"/>
    <col min="2821" max="2821" width="16.42578125" style="568" customWidth="1"/>
    <col min="2822" max="2822" width="14.140625" style="568" customWidth="1"/>
    <col min="2823" max="2823" width="13" style="568" customWidth="1"/>
    <col min="2824" max="2827" width="9.42578125" style="568" customWidth="1"/>
    <col min="2828" max="2828" width="8.85546875" style="568" customWidth="1"/>
    <col min="2829" max="2829" width="9.28515625" style="568" customWidth="1"/>
    <col min="2830" max="2830" width="8.7109375" style="568" customWidth="1"/>
    <col min="2831" max="2832" width="9.28515625" style="568" customWidth="1"/>
    <col min="2833" max="2833" width="9.5703125" style="568" customWidth="1"/>
    <col min="2834" max="2834" width="8.28515625" style="568" customWidth="1"/>
    <col min="2835" max="2871" width="9.28515625" style="568" customWidth="1"/>
    <col min="2872" max="3072" width="11.42578125" style="568"/>
    <col min="3073" max="3073" width="1.28515625" style="568" customWidth="1"/>
    <col min="3074" max="3074" width="5.140625" style="568" customWidth="1"/>
    <col min="3075" max="3075" width="13.42578125" style="568" customWidth="1"/>
    <col min="3076" max="3076" width="14.140625" style="568" customWidth="1"/>
    <col min="3077" max="3077" width="16.42578125" style="568" customWidth="1"/>
    <col min="3078" max="3078" width="14.140625" style="568" customWidth="1"/>
    <col min="3079" max="3079" width="13" style="568" customWidth="1"/>
    <col min="3080" max="3083" width="9.42578125" style="568" customWidth="1"/>
    <col min="3084" max="3084" width="8.85546875" style="568" customWidth="1"/>
    <col min="3085" max="3085" width="9.28515625" style="568" customWidth="1"/>
    <col min="3086" max="3086" width="8.7109375" style="568" customWidth="1"/>
    <col min="3087" max="3088" width="9.28515625" style="568" customWidth="1"/>
    <col min="3089" max="3089" width="9.5703125" style="568" customWidth="1"/>
    <col min="3090" max="3090" width="8.28515625" style="568" customWidth="1"/>
    <col min="3091" max="3127" width="9.28515625" style="568" customWidth="1"/>
    <col min="3128" max="3328" width="11.42578125" style="568"/>
    <col min="3329" max="3329" width="1.28515625" style="568" customWidth="1"/>
    <col min="3330" max="3330" width="5.140625" style="568" customWidth="1"/>
    <col min="3331" max="3331" width="13.42578125" style="568" customWidth="1"/>
    <col min="3332" max="3332" width="14.140625" style="568" customWidth="1"/>
    <col min="3333" max="3333" width="16.42578125" style="568" customWidth="1"/>
    <col min="3334" max="3334" width="14.140625" style="568" customWidth="1"/>
    <col min="3335" max="3335" width="13" style="568" customWidth="1"/>
    <col min="3336" max="3339" width="9.42578125" style="568" customWidth="1"/>
    <col min="3340" max="3340" width="8.85546875" style="568" customWidth="1"/>
    <col min="3341" max="3341" width="9.28515625" style="568" customWidth="1"/>
    <col min="3342" max="3342" width="8.7109375" style="568" customWidth="1"/>
    <col min="3343" max="3344" width="9.28515625" style="568" customWidth="1"/>
    <col min="3345" max="3345" width="9.5703125" style="568" customWidth="1"/>
    <col min="3346" max="3346" width="8.28515625" style="568" customWidth="1"/>
    <col min="3347" max="3383" width="9.28515625" style="568" customWidth="1"/>
    <col min="3384" max="3584" width="11.42578125" style="568"/>
    <col min="3585" max="3585" width="1.28515625" style="568" customWidth="1"/>
    <col min="3586" max="3586" width="5.140625" style="568" customWidth="1"/>
    <col min="3587" max="3587" width="13.42578125" style="568" customWidth="1"/>
    <col min="3588" max="3588" width="14.140625" style="568" customWidth="1"/>
    <col min="3589" max="3589" width="16.42578125" style="568" customWidth="1"/>
    <col min="3590" max="3590" width="14.140625" style="568" customWidth="1"/>
    <col min="3591" max="3591" width="13" style="568" customWidth="1"/>
    <col min="3592" max="3595" width="9.42578125" style="568" customWidth="1"/>
    <col min="3596" max="3596" width="8.85546875" style="568" customWidth="1"/>
    <col min="3597" max="3597" width="9.28515625" style="568" customWidth="1"/>
    <col min="3598" max="3598" width="8.7109375" style="568" customWidth="1"/>
    <col min="3599" max="3600" width="9.28515625" style="568" customWidth="1"/>
    <col min="3601" max="3601" width="9.5703125" style="568" customWidth="1"/>
    <col min="3602" max="3602" width="8.28515625" style="568" customWidth="1"/>
    <col min="3603" max="3639" width="9.28515625" style="568" customWidth="1"/>
    <col min="3640" max="3840" width="11.42578125" style="568"/>
    <col min="3841" max="3841" width="1.28515625" style="568" customWidth="1"/>
    <col min="3842" max="3842" width="5.140625" style="568" customWidth="1"/>
    <col min="3843" max="3843" width="13.42578125" style="568" customWidth="1"/>
    <col min="3844" max="3844" width="14.140625" style="568" customWidth="1"/>
    <col min="3845" max="3845" width="16.42578125" style="568" customWidth="1"/>
    <col min="3846" max="3846" width="14.140625" style="568" customWidth="1"/>
    <col min="3847" max="3847" width="13" style="568" customWidth="1"/>
    <col min="3848" max="3851" width="9.42578125" style="568" customWidth="1"/>
    <col min="3852" max="3852" width="8.85546875" style="568" customWidth="1"/>
    <col min="3853" max="3853" width="9.28515625" style="568" customWidth="1"/>
    <col min="3854" max="3854" width="8.7109375" style="568" customWidth="1"/>
    <col min="3855" max="3856" width="9.28515625" style="568" customWidth="1"/>
    <col min="3857" max="3857" width="9.5703125" style="568" customWidth="1"/>
    <col min="3858" max="3858" width="8.28515625" style="568" customWidth="1"/>
    <col min="3859" max="3895" width="9.28515625" style="568" customWidth="1"/>
    <col min="3896" max="4096" width="11.42578125" style="568"/>
    <col min="4097" max="4097" width="1.28515625" style="568" customWidth="1"/>
    <col min="4098" max="4098" width="5.140625" style="568" customWidth="1"/>
    <col min="4099" max="4099" width="13.42578125" style="568" customWidth="1"/>
    <col min="4100" max="4100" width="14.140625" style="568" customWidth="1"/>
    <col min="4101" max="4101" width="16.42578125" style="568" customWidth="1"/>
    <col min="4102" max="4102" width="14.140625" style="568" customWidth="1"/>
    <col min="4103" max="4103" width="13" style="568" customWidth="1"/>
    <col min="4104" max="4107" width="9.42578125" style="568" customWidth="1"/>
    <col min="4108" max="4108" width="8.85546875" style="568" customWidth="1"/>
    <col min="4109" max="4109" width="9.28515625" style="568" customWidth="1"/>
    <col min="4110" max="4110" width="8.7109375" style="568" customWidth="1"/>
    <col min="4111" max="4112" width="9.28515625" style="568" customWidth="1"/>
    <col min="4113" max="4113" width="9.5703125" style="568" customWidth="1"/>
    <col min="4114" max="4114" width="8.28515625" style="568" customWidth="1"/>
    <col min="4115" max="4151" width="9.28515625" style="568" customWidth="1"/>
    <col min="4152" max="4352" width="11.42578125" style="568"/>
    <col min="4353" max="4353" width="1.28515625" style="568" customWidth="1"/>
    <col min="4354" max="4354" width="5.140625" style="568" customWidth="1"/>
    <col min="4355" max="4355" width="13.42578125" style="568" customWidth="1"/>
    <col min="4356" max="4356" width="14.140625" style="568" customWidth="1"/>
    <col min="4357" max="4357" width="16.42578125" style="568" customWidth="1"/>
    <col min="4358" max="4358" width="14.140625" style="568" customWidth="1"/>
    <col min="4359" max="4359" width="13" style="568" customWidth="1"/>
    <col min="4360" max="4363" width="9.42578125" style="568" customWidth="1"/>
    <col min="4364" max="4364" width="8.85546875" style="568" customWidth="1"/>
    <col min="4365" max="4365" width="9.28515625" style="568" customWidth="1"/>
    <col min="4366" max="4366" width="8.7109375" style="568" customWidth="1"/>
    <col min="4367" max="4368" width="9.28515625" style="568" customWidth="1"/>
    <col min="4369" max="4369" width="9.5703125" style="568" customWidth="1"/>
    <col min="4370" max="4370" width="8.28515625" style="568" customWidth="1"/>
    <col min="4371" max="4407" width="9.28515625" style="568" customWidth="1"/>
    <col min="4408" max="4608" width="11.42578125" style="568"/>
    <col min="4609" max="4609" width="1.28515625" style="568" customWidth="1"/>
    <col min="4610" max="4610" width="5.140625" style="568" customWidth="1"/>
    <col min="4611" max="4611" width="13.42578125" style="568" customWidth="1"/>
    <col min="4612" max="4612" width="14.140625" style="568" customWidth="1"/>
    <col min="4613" max="4613" width="16.42578125" style="568" customWidth="1"/>
    <col min="4614" max="4614" width="14.140625" style="568" customWidth="1"/>
    <col min="4615" max="4615" width="13" style="568" customWidth="1"/>
    <col min="4616" max="4619" width="9.42578125" style="568" customWidth="1"/>
    <col min="4620" max="4620" width="8.85546875" style="568" customWidth="1"/>
    <col min="4621" max="4621" width="9.28515625" style="568" customWidth="1"/>
    <col min="4622" max="4622" width="8.7109375" style="568" customWidth="1"/>
    <col min="4623" max="4624" width="9.28515625" style="568" customWidth="1"/>
    <col min="4625" max="4625" width="9.5703125" style="568" customWidth="1"/>
    <col min="4626" max="4626" width="8.28515625" style="568" customWidth="1"/>
    <col min="4627" max="4663" width="9.28515625" style="568" customWidth="1"/>
    <col min="4664" max="4864" width="11.42578125" style="568"/>
    <col min="4865" max="4865" width="1.28515625" style="568" customWidth="1"/>
    <col min="4866" max="4866" width="5.140625" style="568" customWidth="1"/>
    <col min="4867" max="4867" width="13.42578125" style="568" customWidth="1"/>
    <col min="4868" max="4868" width="14.140625" style="568" customWidth="1"/>
    <col min="4869" max="4869" width="16.42578125" style="568" customWidth="1"/>
    <col min="4870" max="4870" width="14.140625" style="568" customWidth="1"/>
    <col min="4871" max="4871" width="13" style="568" customWidth="1"/>
    <col min="4872" max="4875" width="9.42578125" style="568" customWidth="1"/>
    <col min="4876" max="4876" width="8.85546875" style="568" customWidth="1"/>
    <col min="4877" max="4877" width="9.28515625" style="568" customWidth="1"/>
    <col min="4878" max="4878" width="8.7109375" style="568" customWidth="1"/>
    <col min="4879" max="4880" width="9.28515625" style="568" customWidth="1"/>
    <col min="4881" max="4881" width="9.5703125" style="568" customWidth="1"/>
    <col min="4882" max="4882" width="8.28515625" style="568" customWidth="1"/>
    <col min="4883" max="4919" width="9.28515625" style="568" customWidth="1"/>
    <col min="4920" max="5120" width="11.42578125" style="568"/>
    <col min="5121" max="5121" width="1.28515625" style="568" customWidth="1"/>
    <col min="5122" max="5122" width="5.140625" style="568" customWidth="1"/>
    <col min="5123" max="5123" width="13.42578125" style="568" customWidth="1"/>
    <col min="5124" max="5124" width="14.140625" style="568" customWidth="1"/>
    <col min="5125" max="5125" width="16.42578125" style="568" customWidth="1"/>
    <col min="5126" max="5126" width="14.140625" style="568" customWidth="1"/>
    <col min="5127" max="5127" width="13" style="568" customWidth="1"/>
    <col min="5128" max="5131" width="9.42578125" style="568" customWidth="1"/>
    <col min="5132" max="5132" width="8.85546875" style="568" customWidth="1"/>
    <col min="5133" max="5133" width="9.28515625" style="568" customWidth="1"/>
    <col min="5134" max="5134" width="8.7109375" style="568" customWidth="1"/>
    <col min="5135" max="5136" width="9.28515625" style="568" customWidth="1"/>
    <col min="5137" max="5137" width="9.5703125" style="568" customWidth="1"/>
    <col min="5138" max="5138" width="8.28515625" style="568" customWidth="1"/>
    <col min="5139" max="5175" width="9.28515625" style="568" customWidth="1"/>
    <col min="5176" max="5376" width="11.42578125" style="568"/>
    <col min="5377" max="5377" width="1.28515625" style="568" customWidth="1"/>
    <col min="5378" max="5378" width="5.140625" style="568" customWidth="1"/>
    <col min="5379" max="5379" width="13.42578125" style="568" customWidth="1"/>
    <col min="5380" max="5380" width="14.140625" style="568" customWidth="1"/>
    <col min="5381" max="5381" width="16.42578125" style="568" customWidth="1"/>
    <col min="5382" max="5382" width="14.140625" style="568" customWidth="1"/>
    <col min="5383" max="5383" width="13" style="568" customWidth="1"/>
    <col min="5384" max="5387" width="9.42578125" style="568" customWidth="1"/>
    <col min="5388" max="5388" width="8.85546875" style="568" customWidth="1"/>
    <col min="5389" max="5389" width="9.28515625" style="568" customWidth="1"/>
    <col min="5390" max="5390" width="8.7109375" style="568" customWidth="1"/>
    <col min="5391" max="5392" width="9.28515625" style="568" customWidth="1"/>
    <col min="5393" max="5393" width="9.5703125" style="568" customWidth="1"/>
    <col min="5394" max="5394" width="8.28515625" style="568" customWidth="1"/>
    <col min="5395" max="5431" width="9.28515625" style="568" customWidth="1"/>
    <col min="5432" max="5632" width="11.42578125" style="568"/>
    <col min="5633" max="5633" width="1.28515625" style="568" customWidth="1"/>
    <col min="5634" max="5634" width="5.140625" style="568" customWidth="1"/>
    <col min="5635" max="5635" width="13.42578125" style="568" customWidth="1"/>
    <col min="5636" max="5636" width="14.140625" style="568" customWidth="1"/>
    <col min="5637" max="5637" width="16.42578125" style="568" customWidth="1"/>
    <col min="5638" max="5638" width="14.140625" style="568" customWidth="1"/>
    <col min="5639" max="5639" width="13" style="568" customWidth="1"/>
    <col min="5640" max="5643" width="9.42578125" style="568" customWidth="1"/>
    <col min="5644" max="5644" width="8.85546875" style="568" customWidth="1"/>
    <col min="5645" max="5645" width="9.28515625" style="568" customWidth="1"/>
    <col min="5646" max="5646" width="8.7109375" style="568" customWidth="1"/>
    <col min="5647" max="5648" width="9.28515625" style="568" customWidth="1"/>
    <col min="5649" max="5649" width="9.5703125" style="568" customWidth="1"/>
    <col min="5650" max="5650" width="8.28515625" style="568" customWidth="1"/>
    <col min="5651" max="5687" width="9.28515625" style="568" customWidth="1"/>
    <col min="5688" max="5888" width="11.42578125" style="568"/>
    <col min="5889" max="5889" width="1.28515625" style="568" customWidth="1"/>
    <col min="5890" max="5890" width="5.140625" style="568" customWidth="1"/>
    <col min="5891" max="5891" width="13.42578125" style="568" customWidth="1"/>
    <col min="5892" max="5892" width="14.140625" style="568" customWidth="1"/>
    <col min="5893" max="5893" width="16.42578125" style="568" customWidth="1"/>
    <col min="5894" max="5894" width="14.140625" style="568" customWidth="1"/>
    <col min="5895" max="5895" width="13" style="568" customWidth="1"/>
    <col min="5896" max="5899" width="9.42578125" style="568" customWidth="1"/>
    <col min="5900" max="5900" width="8.85546875" style="568" customWidth="1"/>
    <col min="5901" max="5901" width="9.28515625" style="568" customWidth="1"/>
    <col min="5902" max="5902" width="8.7109375" style="568" customWidth="1"/>
    <col min="5903" max="5904" width="9.28515625" style="568" customWidth="1"/>
    <col min="5905" max="5905" width="9.5703125" style="568" customWidth="1"/>
    <col min="5906" max="5906" width="8.28515625" style="568" customWidth="1"/>
    <col min="5907" max="5943" width="9.28515625" style="568" customWidth="1"/>
    <col min="5944" max="6144" width="11.42578125" style="568"/>
    <col min="6145" max="6145" width="1.28515625" style="568" customWidth="1"/>
    <col min="6146" max="6146" width="5.140625" style="568" customWidth="1"/>
    <col min="6147" max="6147" width="13.42578125" style="568" customWidth="1"/>
    <col min="6148" max="6148" width="14.140625" style="568" customWidth="1"/>
    <col min="6149" max="6149" width="16.42578125" style="568" customWidth="1"/>
    <col min="6150" max="6150" width="14.140625" style="568" customWidth="1"/>
    <col min="6151" max="6151" width="13" style="568" customWidth="1"/>
    <col min="6152" max="6155" width="9.42578125" style="568" customWidth="1"/>
    <col min="6156" max="6156" width="8.85546875" style="568" customWidth="1"/>
    <col min="6157" max="6157" width="9.28515625" style="568" customWidth="1"/>
    <col min="6158" max="6158" width="8.7109375" style="568" customWidth="1"/>
    <col min="6159" max="6160" width="9.28515625" style="568" customWidth="1"/>
    <col min="6161" max="6161" width="9.5703125" style="568" customWidth="1"/>
    <col min="6162" max="6162" width="8.28515625" style="568" customWidth="1"/>
    <col min="6163" max="6199" width="9.28515625" style="568" customWidth="1"/>
    <col min="6200" max="6400" width="11.42578125" style="568"/>
    <col min="6401" max="6401" width="1.28515625" style="568" customWidth="1"/>
    <col min="6402" max="6402" width="5.140625" style="568" customWidth="1"/>
    <col min="6403" max="6403" width="13.42578125" style="568" customWidth="1"/>
    <col min="6404" max="6404" width="14.140625" style="568" customWidth="1"/>
    <col min="6405" max="6405" width="16.42578125" style="568" customWidth="1"/>
    <col min="6406" max="6406" width="14.140625" style="568" customWidth="1"/>
    <col min="6407" max="6407" width="13" style="568" customWidth="1"/>
    <col min="6408" max="6411" width="9.42578125" style="568" customWidth="1"/>
    <col min="6412" max="6412" width="8.85546875" style="568" customWidth="1"/>
    <col min="6413" max="6413" width="9.28515625" style="568" customWidth="1"/>
    <col min="6414" max="6414" width="8.7109375" style="568" customWidth="1"/>
    <col min="6415" max="6416" width="9.28515625" style="568" customWidth="1"/>
    <col min="6417" max="6417" width="9.5703125" style="568" customWidth="1"/>
    <col min="6418" max="6418" width="8.28515625" style="568" customWidth="1"/>
    <col min="6419" max="6455" width="9.28515625" style="568" customWidth="1"/>
    <col min="6456" max="6656" width="11.42578125" style="568"/>
    <col min="6657" max="6657" width="1.28515625" style="568" customWidth="1"/>
    <col min="6658" max="6658" width="5.140625" style="568" customWidth="1"/>
    <col min="6659" max="6659" width="13.42578125" style="568" customWidth="1"/>
    <col min="6660" max="6660" width="14.140625" style="568" customWidth="1"/>
    <col min="6661" max="6661" width="16.42578125" style="568" customWidth="1"/>
    <col min="6662" max="6662" width="14.140625" style="568" customWidth="1"/>
    <col min="6663" max="6663" width="13" style="568" customWidth="1"/>
    <col min="6664" max="6667" width="9.42578125" style="568" customWidth="1"/>
    <col min="6668" max="6668" width="8.85546875" style="568" customWidth="1"/>
    <col min="6669" max="6669" width="9.28515625" style="568" customWidth="1"/>
    <col min="6670" max="6670" width="8.7109375" style="568" customWidth="1"/>
    <col min="6671" max="6672" width="9.28515625" style="568" customWidth="1"/>
    <col min="6673" max="6673" width="9.5703125" style="568" customWidth="1"/>
    <col min="6674" max="6674" width="8.28515625" style="568" customWidth="1"/>
    <col min="6675" max="6711" width="9.28515625" style="568" customWidth="1"/>
    <col min="6712" max="6912" width="11.42578125" style="568"/>
    <col min="6913" max="6913" width="1.28515625" style="568" customWidth="1"/>
    <col min="6914" max="6914" width="5.140625" style="568" customWidth="1"/>
    <col min="6915" max="6915" width="13.42578125" style="568" customWidth="1"/>
    <col min="6916" max="6916" width="14.140625" style="568" customWidth="1"/>
    <col min="6917" max="6917" width="16.42578125" style="568" customWidth="1"/>
    <col min="6918" max="6918" width="14.140625" style="568" customWidth="1"/>
    <col min="6919" max="6919" width="13" style="568" customWidth="1"/>
    <col min="6920" max="6923" width="9.42578125" style="568" customWidth="1"/>
    <col min="6924" max="6924" width="8.85546875" style="568" customWidth="1"/>
    <col min="6925" max="6925" width="9.28515625" style="568" customWidth="1"/>
    <col min="6926" max="6926" width="8.7109375" style="568" customWidth="1"/>
    <col min="6927" max="6928" width="9.28515625" style="568" customWidth="1"/>
    <col min="6929" max="6929" width="9.5703125" style="568" customWidth="1"/>
    <col min="6930" max="6930" width="8.28515625" style="568" customWidth="1"/>
    <col min="6931" max="6967" width="9.28515625" style="568" customWidth="1"/>
    <col min="6968" max="7168" width="11.42578125" style="568"/>
    <col min="7169" max="7169" width="1.28515625" style="568" customWidth="1"/>
    <col min="7170" max="7170" width="5.140625" style="568" customWidth="1"/>
    <col min="7171" max="7171" width="13.42578125" style="568" customWidth="1"/>
    <col min="7172" max="7172" width="14.140625" style="568" customWidth="1"/>
    <col min="7173" max="7173" width="16.42578125" style="568" customWidth="1"/>
    <col min="7174" max="7174" width="14.140625" style="568" customWidth="1"/>
    <col min="7175" max="7175" width="13" style="568" customWidth="1"/>
    <col min="7176" max="7179" width="9.42578125" style="568" customWidth="1"/>
    <col min="7180" max="7180" width="8.85546875" style="568" customWidth="1"/>
    <col min="7181" max="7181" width="9.28515625" style="568" customWidth="1"/>
    <col min="7182" max="7182" width="8.7109375" style="568" customWidth="1"/>
    <col min="7183" max="7184" width="9.28515625" style="568" customWidth="1"/>
    <col min="7185" max="7185" width="9.5703125" style="568" customWidth="1"/>
    <col min="7186" max="7186" width="8.28515625" style="568" customWidth="1"/>
    <col min="7187" max="7223" width="9.28515625" style="568" customWidth="1"/>
    <col min="7224" max="7424" width="11.42578125" style="568"/>
    <col min="7425" max="7425" width="1.28515625" style="568" customWidth="1"/>
    <col min="7426" max="7426" width="5.140625" style="568" customWidth="1"/>
    <col min="7427" max="7427" width="13.42578125" style="568" customWidth="1"/>
    <col min="7428" max="7428" width="14.140625" style="568" customWidth="1"/>
    <col min="7429" max="7429" width="16.42578125" style="568" customWidth="1"/>
    <col min="7430" max="7430" width="14.140625" style="568" customWidth="1"/>
    <col min="7431" max="7431" width="13" style="568" customWidth="1"/>
    <col min="7432" max="7435" width="9.42578125" style="568" customWidth="1"/>
    <col min="7436" max="7436" width="8.85546875" style="568" customWidth="1"/>
    <col min="7437" max="7437" width="9.28515625" style="568" customWidth="1"/>
    <col min="7438" max="7438" width="8.7109375" style="568" customWidth="1"/>
    <col min="7439" max="7440" width="9.28515625" style="568" customWidth="1"/>
    <col min="7441" max="7441" width="9.5703125" style="568" customWidth="1"/>
    <col min="7442" max="7442" width="8.28515625" style="568" customWidth="1"/>
    <col min="7443" max="7479" width="9.28515625" style="568" customWidth="1"/>
    <col min="7480" max="7680" width="11.42578125" style="568"/>
    <col min="7681" max="7681" width="1.28515625" style="568" customWidth="1"/>
    <col min="7682" max="7682" width="5.140625" style="568" customWidth="1"/>
    <col min="7683" max="7683" width="13.42578125" style="568" customWidth="1"/>
    <col min="7684" max="7684" width="14.140625" style="568" customWidth="1"/>
    <col min="7685" max="7685" width="16.42578125" style="568" customWidth="1"/>
    <col min="7686" max="7686" width="14.140625" style="568" customWidth="1"/>
    <col min="7687" max="7687" width="13" style="568" customWidth="1"/>
    <col min="7688" max="7691" width="9.42578125" style="568" customWidth="1"/>
    <col min="7692" max="7692" width="8.85546875" style="568" customWidth="1"/>
    <col min="7693" max="7693" width="9.28515625" style="568" customWidth="1"/>
    <col min="7694" max="7694" width="8.7109375" style="568" customWidth="1"/>
    <col min="7695" max="7696" width="9.28515625" style="568" customWidth="1"/>
    <col min="7697" max="7697" width="9.5703125" style="568" customWidth="1"/>
    <col min="7698" max="7698" width="8.28515625" style="568" customWidth="1"/>
    <col min="7699" max="7735" width="9.28515625" style="568" customWidth="1"/>
    <col min="7736" max="7936" width="11.42578125" style="568"/>
    <col min="7937" max="7937" width="1.28515625" style="568" customWidth="1"/>
    <col min="7938" max="7938" width="5.140625" style="568" customWidth="1"/>
    <col min="7939" max="7939" width="13.42578125" style="568" customWidth="1"/>
    <col min="7940" max="7940" width="14.140625" style="568" customWidth="1"/>
    <col min="7941" max="7941" width="16.42578125" style="568" customWidth="1"/>
    <col min="7942" max="7942" width="14.140625" style="568" customWidth="1"/>
    <col min="7943" max="7943" width="13" style="568" customWidth="1"/>
    <col min="7944" max="7947" width="9.42578125" style="568" customWidth="1"/>
    <col min="7948" max="7948" width="8.85546875" style="568" customWidth="1"/>
    <col min="7949" max="7949" width="9.28515625" style="568" customWidth="1"/>
    <col min="7950" max="7950" width="8.7109375" style="568" customWidth="1"/>
    <col min="7951" max="7952" width="9.28515625" style="568" customWidth="1"/>
    <col min="7953" max="7953" width="9.5703125" style="568" customWidth="1"/>
    <col min="7954" max="7954" width="8.28515625" style="568" customWidth="1"/>
    <col min="7955" max="7991" width="9.28515625" style="568" customWidth="1"/>
    <col min="7992" max="8192" width="11.42578125" style="568"/>
    <col min="8193" max="8193" width="1.28515625" style="568" customWidth="1"/>
    <col min="8194" max="8194" width="5.140625" style="568" customWidth="1"/>
    <col min="8195" max="8195" width="13.42578125" style="568" customWidth="1"/>
    <col min="8196" max="8196" width="14.140625" style="568" customWidth="1"/>
    <col min="8197" max="8197" width="16.42578125" style="568" customWidth="1"/>
    <col min="8198" max="8198" width="14.140625" style="568" customWidth="1"/>
    <col min="8199" max="8199" width="13" style="568" customWidth="1"/>
    <col min="8200" max="8203" width="9.42578125" style="568" customWidth="1"/>
    <col min="8204" max="8204" width="8.85546875" style="568" customWidth="1"/>
    <col min="8205" max="8205" width="9.28515625" style="568" customWidth="1"/>
    <col min="8206" max="8206" width="8.7109375" style="568" customWidth="1"/>
    <col min="8207" max="8208" width="9.28515625" style="568" customWidth="1"/>
    <col min="8209" max="8209" width="9.5703125" style="568" customWidth="1"/>
    <col min="8210" max="8210" width="8.28515625" style="568" customWidth="1"/>
    <col min="8211" max="8247" width="9.28515625" style="568" customWidth="1"/>
    <col min="8248" max="8448" width="11.42578125" style="568"/>
    <col min="8449" max="8449" width="1.28515625" style="568" customWidth="1"/>
    <col min="8450" max="8450" width="5.140625" style="568" customWidth="1"/>
    <col min="8451" max="8451" width="13.42578125" style="568" customWidth="1"/>
    <col min="8452" max="8452" width="14.140625" style="568" customWidth="1"/>
    <col min="8453" max="8453" width="16.42578125" style="568" customWidth="1"/>
    <col min="8454" max="8454" width="14.140625" style="568" customWidth="1"/>
    <col min="8455" max="8455" width="13" style="568" customWidth="1"/>
    <col min="8456" max="8459" width="9.42578125" style="568" customWidth="1"/>
    <col min="8460" max="8460" width="8.85546875" style="568" customWidth="1"/>
    <col min="8461" max="8461" width="9.28515625" style="568" customWidth="1"/>
    <col min="8462" max="8462" width="8.7109375" style="568" customWidth="1"/>
    <col min="8463" max="8464" width="9.28515625" style="568" customWidth="1"/>
    <col min="8465" max="8465" width="9.5703125" style="568" customWidth="1"/>
    <col min="8466" max="8466" width="8.28515625" style="568" customWidth="1"/>
    <col min="8467" max="8503" width="9.28515625" style="568" customWidth="1"/>
    <col min="8504" max="8704" width="11.42578125" style="568"/>
    <col min="8705" max="8705" width="1.28515625" style="568" customWidth="1"/>
    <col min="8706" max="8706" width="5.140625" style="568" customWidth="1"/>
    <col min="8707" max="8707" width="13.42578125" style="568" customWidth="1"/>
    <col min="8708" max="8708" width="14.140625" style="568" customWidth="1"/>
    <col min="8709" max="8709" width="16.42578125" style="568" customWidth="1"/>
    <col min="8710" max="8710" width="14.140625" style="568" customWidth="1"/>
    <col min="8711" max="8711" width="13" style="568" customWidth="1"/>
    <col min="8712" max="8715" width="9.42578125" style="568" customWidth="1"/>
    <col min="8716" max="8716" width="8.85546875" style="568" customWidth="1"/>
    <col min="8717" max="8717" width="9.28515625" style="568" customWidth="1"/>
    <col min="8718" max="8718" width="8.7109375" style="568" customWidth="1"/>
    <col min="8719" max="8720" width="9.28515625" style="568" customWidth="1"/>
    <col min="8721" max="8721" width="9.5703125" style="568" customWidth="1"/>
    <col min="8722" max="8722" width="8.28515625" style="568" customWidth="1"/>
    <col min="8723" max="8759" width="9.28515625" style="568" customWidth="1"/>
    <col min="8760" max="8960" width="11.42578125" style="568"/>
    <col min="8961" max="8961" width="1.28515625" style="568" customWidth="1"/>
    <col min="8962" max="8962" width="5.140625" style="568" customWidth="1"/>
    <col min="8963" max="8963" width="13.42578125" style="568" customWidth="1"/>
    <col min="8964" max="8964" width="14.140625" style="568" customWidth="1"/>
    <col min="8965" max="8965" width="16.42578125" style="568" customWidth="1"/>
    <col min="8966" max="8966" width="14.140625" style="568" customWidth="1"/>
    <col min="8967" max="8967" width="13" style="568" customWidth="1"/>
    <col min="8968" max="8971" width="9.42578125" style="568" customWidth="1"/>
    <col min="8972" max="8972" width="8.85546875" style="568" customWidth="1"/>
    <col min="8973" max="8973" width="9.28515625" style="568" customWidth="1"/>
    <col min="8974" max="8974" width="8.7109375" style="568" customWidth="1"/>
    <col min="8975" max="8976" width="9.28515625" style="568" customWidth="1"/>
    <col min="8977" max="8977" width="9.5703125" style="568" customWidth="1"/>
    <col min="8978" max="8978" width="8.28515625" style="568" customWidth="1"/>
    <col min="8979" max="9015" width="9.28515625" style="568" customWidth="1"/>
    <col min="9016" max="9216" width="11.42578125" style="568"/>
    <col min="9217" max="9217" width="1.28515625" style="568" customWidth="1"/>
    <col min="9218" max="9218" width="5.140625" style="568" customWidth="1"/>
    <col min="9219" max="9219" width="13.42578125" style="568" customWidth="1"/>
    <col min="9220" max="9220" width="14.140625" style="568" customWidth="1"/>
    <col min="9221" max="9221" width="16.42578125" style="568" customWidth="1"/>
    <col min="9222" max="9222" width="14.140625" style="568" customWidth="1"/>
    <col min="9223" max="9223" width="13" style="568" customWidth="1"/>
    <col min="9224" max="9227" width="9.42578125" style="568" customWidth="1"/>
    <col min="9228" max="9228" width="8.85546875" style="568" customWidth="1"/>
    <col min="9229" max="9229" width="9.28515625" style="568" customWidth="1"/>
    <col min="9230" max="9230" width="8.7109375" style="568" customWidth="1"/>
    <col min="9231" max="9232" width="9.28515625" style="568" customWidth="1"/>
    <col min="9233" max="9233" width="9.5703125" style="568" customWidth="1"/>
    <col min="9234" max="9234" width="8.28515625" style="568" customWidth="1"/>
    <col min="9235" max="9271" width="9.28515625" style="568" customWidth="1"/>
    <col min="9272" max="9472" width="11.42578125" style="568"/>
    <col min="9473" max="9473" width="1.28515625" style="568" customWidth="1"/>
    <col min="9474" max="9474" width="5.140625" style="568" customWidth="1"/>
    <col min="9475" max="9475" width="13.42578125" style="568" customWidth="1"/>
    <col min="9476" max="9476" width="14.140625" style="568" customWidth="1"/>
    <col min="9477" max="9477" width="16.42578125" style="568" customWidth="1"/>
    <col min="9478" max="9478" width="14.140625" style="568" customWidth="1"/>
    <col min="9479" max="9479" width="13" style="568" customWidth="1"/>
    <col min="9480" max="9483" width="9.42578125" style="568" customWidth="1"/>
    <col min="9484" max="9484" width="8.85546875" style="568" customWidth="1"/>
    <col min="9485" max="9485" width="9.28515625" style="568" customWidth="1"/>
    <col min="9486" max="9486" width="8.7109375" style="568" customWidth="1"/>
    <col min="9487" max="9488" width="9.28515625" style="568" customWidth="1"/>
    <col min="9489" max="9489" width="9.5703125" style="568" customWidth="1"/>
    <col min="9490" max="9490" width="8.28515625" style="568" customWidth="1"/>
    <col min="9491" max="9527" width="9.28515625" style="568" customWidth="1"/>
    <col min="9528" max="9728" width="11.42578125" style="568"/>
    <col min="9729" max="9729" width="1.28515625" style="568" customWidth="1"/>
    <col min="9730" max="9730" width="5.140625" style="568" customWidth="1"/>
    <col min="9731" max="9731" width="13.42578125" style="568" customWidth="1"/>
    <col min="9732" max="9732" width="14.140625" style="568" customWidth="1"/>
    <col min="9733" max="9733" width="16.42578125" style="568" customWidth="1"/>
    <col min="9734" max="9734" width="14.140625" style="568" customWidth="1"/>
    <col min="9735" max="9735" width="13" style="568" customWidth="1"/>
    <col min="9736" max="9739" width="9.42578125" style="568" customWidth="1"/>
    <col min="9740" max="9740" width="8.85546875" style="568" customWidth="1"/>
    <col min="9741" max="9741" width="9.28515625" style="568" customWidth="1"/>
    <col min="9742" max="9742" width="8.7109375" style="568" customWidth="1"/>
    <col min="9743" max="9744" width="9.28515625" style="568" customWidth="1"/>
    <col min="9745" max="9745" width="9.5703125" style="568" customWidth="1"/>
    <col min="9746" max="9746" width="8.28515625" style="568" customWidth="1"/>
    <col min="9747" max="9783" width="9.28515625" style="568" customWidth="1"/>
    <col min="9784" max="9984" width="11.42578125" style="568"/>
    <col min="9985" max="9985" width="1.28515625" style="568" customWidth="1"/>
    <col min="9986" max="9986" width="5.140625" style="568" customWidth="1"/>
    <col min="9987" max="9987" width="13.42578125" style="568" customWidth="1"/>
    <col min="9988" max="9988" width="14.140625" style="568" customWidth="1"/>
    <col min="9989" max="9989" width="16.42578125" style="568" customWidth="1"/>
    <col min="9990" max="9990" width="14.140625" style="568" customWidth="1"/>
    <col min="9991" max="9991" width="13" style="568" customWidth="1"/>
    <col min="9992" max="9995" width="9.42578125" style="568" customWidth="1"/>
    <col min="9996" max="9996" width="8.85546875" style="568" customWidth="1"/>
    <col min="9997" max="9997" width="9.28515625" style="568" customWidth="1"/>
    <col min="9998" max="9998" width="8.7109375" style="568" customWidth="1"/>
    <col min="9999" max="10000" width="9.28515625" style="568" customWidth="1"/>
    <col min="10001" max="10001" width="9.5703125" style="568" customWidth="1"/>
    <col min="10002" max="10002" width="8.28515625" style="568" customWidth="1"/>
    <col min="10003" max="10039" width="9.28515625" style="568" customWidth="1"/>
    <col min="10040" max="10240" width="11.42578125" style="568"/>
    <col min="10241" max="10241" width="1.28515625" style="568" customWidth="1"/>
    <col min="10242" max="10242" width="5.140625" style="568" customWidth="1"/>
    <col min="10243" max="10243" width="13.42578125" style="568" customWidth="1"/>
    <col min="10244" max="10244" width="14.140625" style="568" customWidth="1"/>
    <col min="10245" max="10245" width="16.42578125" style="568" customWidth="1"/>
    <col min="10246" max="10246" width="14.140625" style="568" customWidth="1"/>
    <col min="10247" max="10247" width="13" style="568" customWidth="1"/>
    <col min="10248" max="10251" width="9.42578125" style="568" customWidth="1"/>
    <col min="10252" max="10252" width="8.85546875" style="568" customWidth="1"/>
    <col min="10253" max="10253" width="9.28515625" style="568" customWidth="1"/>
    <col min="10254" max="10254" width="8.7109375" style="568" customWidth="1"/>
    <col min="10255" max="10256" width="9.28515625" style="568" customWidth="1"/>
    <col min="10257" max="10257" width="9.5703125" style="568" customWidth="1"/>
    <col min="10258" max="10258" width="8.28515625" style="568" customWidth="1"/>
    <col min="10259" max="10295" width="9.28515625" style="568" customWidth="1"/>
    <col min="10296" max="10496" width="11.42578125" style="568"/>
    <col min="10497" max="10497" width="1.28515625" style="568" customWidth="1"/>
    <col min="10498" max="10498" width="5.140625" style="568" customWidth="1"/>
    <col min="10499" max="10499" width="13.42578125" style="568" customWidth="1"/>
    <col min="10500" max="10500" width="14.140625" style="568" customWidth="1"/>
    <col min="10501" max="10501" width="16.42578125" style="568" customWidth="1"/>
    <col min="10502" max="10502" width="14.140625" style="568" customWidth="1"/>
    <col min="10503" max="10503" width="13" style="568" customWidth="1"/>
    <col min="10504" max="10507" width="9.42578125" style="568" customWidth="1"/>
    <col min="10508" max="10508" width="8.85546875" style="568" customWidth="1"/>
    <col min="10509" max="10509" width="9.28515625" style="568" customWidth="1"/>
    <col min="10510" max="10510" width="8.7109375" style="568" customWidth="1"/>
    <col min="10511" max="10512" width="9.28515625" style="568" customWidth="1"/>
    <col min="10513" max="10513" width="9.5703125" style="568" customWidth="1"/>
    <col min="10514" max="10514" width="8.28515625" style="568" customWidth="1"/>
    <col min="10515" max="10551" width="9.28515625" style="568" customWidth="1"/>
    <col min="10552" max="10752" width="11.42578125" style="568"/>
    <col min="10753" max="10753" width="1.28515625" style="568" customWidth="1"/>
    <col min="10754" max="10754" width="5.140625" style="568" customWidth="1"/>
    <col min="10755" max="10755" width="13.42578125" style="568" customWidth="1"/>
    <col min="10756" max="10756" width="14.140625" style="568" customWidth="1"/>
    <col min="10757" max="10757" width="16.42578125" style="568" customWidth="1"/>
    <col min="10758" max="10758" width="14.140625" style="568" customWidth="1"/>
    <col min="10759" max="10759" width="13" style="568" customWidth="1"/>
    <col min="10760" max="10763" width="9.42578125" style="568" customWidth="1"/>
    <col min="10764" max="10764" width="8.85546875" style="568" customWidth="1"/>
    <col min="10765" max="10765" width="9.28515625" style="568" customWidth="1"/>
    <col min="10766" max="10766" width="8.7109375" style="568" customWidth="1"/>
    <col min="10767" max="10768" width="9.28515625" style="568" customWidth="1"/>
    <col min="10769" max="10769" width="9.5703125" style="568" customWidth="1"/>
    <col min="10770" max="10770" width="8.28515625" style="568" customWidth="1"/>
    <col min="10771" max="10807" width="9.28515625" style="568" customWidth="1"/>
    <col min="10808" max="11008" width="11.42578125" style="568"/>
    <col min="11009" max="11009" width="1.28515625" style="568" customWidth="1"/>
    <col min="11010" max="11010" width="5.140625" style="568" customWidth="1"/>
    <col min="11011" max="11011" width="13.42578125" style="568" customWidth="1"/>
    <col min="11012" max="11012" width="14.140625" style="568" customWidth="1"/>
    <col min="11013" max="11013" width="16.42578125" style="568" customWidth="1"/>
    <col min="11014" max="11014" width="14.140625" style="568" customWidth="1"/>
    <col min="11015" max="11015" width="13" style="568" customWidth="1"/>
    <col min="11016" max="11019" width="9.42578125" style="568" customWidth="1"/>
    <col min="11020" max="11020" width="8.85546875" style="568" customWidth="1"/>
    <col min="11021" max="11021" width="9.28515625" style="568" customWidth="1"/>
    <col min="11022" max="11022" width="8.7109375" style="568" customWidth="1"/>
    <col min="11023" max="11024" width="9.28515625" style="568" customWidth="1"/>
    <col min="11025" max="11025" width="9.5703125" style="568" customWidth="1"/>
    <col min="11026" max="11026" width="8.28515625" style="568" customWidth="1"/>
    <col min="11027" max="11063" width="9.28515625" style="568" customWidth="1"/>
    <col min="11064" max="11264" width="11.42578125" style="568"/>
    <col min="11265" max="11265" width="1.28515625" style="568" customWidth="1"/>
    <col min="11266" max="11266" width="5.140625" style="568" customWidth="1"/>
    <col min="11267" max="11267" width="13.42578125" style="568" customWidth="1"/>
    <col min="11268" max="11268" width="14.140625" style="568" customWidth="1"/>
    <col min="11269" max="11269" width="16.42578125" style="568" customWidth="1"/>
    <col min="11270" max="11270" width="14.140625" style="568" customWidth="1"/>
    <col min="11271" max="11271" width="13" style="568" customWidth="1"/>
    <col min="11272" max="11275" width="9.42578125" style="568" customWidth="1"/>
    <col min="11276" max="11276" width="8.85546875" style="568" customWidth="1"/>
    <col min="11277" max="11277" width="9.28515625" style="568" customWidth="1"/>
    <col min="11278" max="11278" width="8.7109375" style="568" customWidth="1"/>
    <col min="11279" max="11280" width="9.28515625" style="568" customWidth="1"/>
    <col min="11281" max="11281" width="9.5703125" style="568" customWidth="1"/>
    <col min="11282" max="11282" width="8.28515625" style="568" customWidth="1"/>
    <col min="11283" max="11319" width="9.28515625" style="568" customWidth="1"/>
    <col min="11320" max="11520" width="11.42578125" style="568"/>
    <col min="11521" max="11521" width="1.28515625" style="568" customWidth="1"/>
    <col min="11522" max="11522" width="5.140625" style="568" customWidth="1"/>
    <col min="11523" max="11523" width="13.42578125" style="568" customWidth="1"/>
    <col min="11524" max="11524" width="14.140625" style="568" customWidth="1"/>
    <col min="11525" max="11525" width="16.42578125" style="568" customWidth="1"/>
    <col min="11526" max="11526" width="14.140625" style="568" customWidth="1"/>
    <col min="11527" max="11527" width="13" style="568" customWidth="1"/>
    <col min="11528" max="11531" width="9.42578125" style="568" customWidth="1"/>
    <col min="11532" max="11532" width="8.85546875" style="568" customWidth="1"/>
    <col min="11533" max="11533" width="9.28515625" style="568" customWidth="1"/>
    <col min="11534" max="11534" width="8.7109375" style="568" customWidth="1"/>
    <col min="11535" max="11536" width="9.28515625" style="568" customWidth="1"/>
    <col min="11537" max="11537" width="9.5703125" style="568" customWidth="1"/>
    <col min="11538" max="11538" width="8.28515625" style="568" customWidth="1"/>
    <col min="11539" max="11575" width="9.28515625" style="568" customWidth="1"/>
    <col min="11576" max="11776" width="11.42578125" style="568"/>
    <col min="11777" max="11777" width="1.28515625" style="568" customWidth="1"/>
    <col min="11778" max="11778" width="5.140625" style="568" customWidth="1"/>
    <col min="11779" max="11779" width="13.42578125" style="568" customWidth="1"/>
    <col min="11780" max="11780" width="14.140625" style="568" customWidth="1"/>
    <col min="11781" max="11781" width="16.42578125" style="568" customWidth="1"/>
    <col min="11782" max="11782" width="14.140625" style="568" customWidth="1"/>
    <col min="11783" max="11783" width="13" style="568" customWidth="1"/>
    <col min="11784" max="11787" width="9.42578125" style="568" customWidth="1"/>
    <col min="11788" max="11788" width="8.85546875" style="568" customWidth="1"/>
    <col min="11789" max="11789" width="9.28515625" style="568" customWidth="1"/>
    <col min="11790" max="11790" width="8.7109375" style="568" customWidth="1"/>
    <col min="11791" max="11792" width="9.28515625" style="568" customWidth="1"/>
    <col min="11793" max="11793" width="9.5703125" style="568" customWidth="1"/>
    <col min="11794" max="11794" width="8.28515625" style="568" customWidth="1"/>
    <col min="11795" max="11831" width="9.28515625" style="568" customWidth="1"/>
    <col min="11832" max="12032" width="11.42578125" style="568"/>
    <col min="12033" max="12033" width="1.28515625" style="568" customWidth="1"/>
    <col min="12034" max="12034" width="5.140625" style="568" customWidth="1"/>
    <col min="12035" max="12035" width="13.42578125" style="568" customWidth="1"/>
    <col min="12036" max="12036" width="14.140625" style="568" customWidth="1"/>
    <col min="12037" max="12037" width="16.42578125" style="568" customWidth="1"/>
    <col min="12038" max="12038" width="14.140625" style="568" customWidth="1"/>
    <col min="12039" max="12039" width="13" style="568" customWidth="1"/>
    <col min="12040" max="12043" width="9.42578125" style="568" customWidth="1"/>
    <col min="12044" max="12044" width="8.85546875" style="568" customWidth="1"/>
    <col min="12045" max="12045" width="9.28515625" style="568" customWidth="1"/>
    <col min="12046" max="12046" width="8.7109375" style="568" customWidth="1"/>
    <col min="12047" max="12048" width="9.28515625" style="568" customWidth="1"/>
    <col min="12049" max="12049" width="9.5703125" style="568" customWidth="1"/>
    <col min="12050" max="12050" width="8.28515625" style="568" customWidth="1"/>
    <col min="12051" max="12087" width="9.28515625" style="568" customWidth="1"/>
    <col min="12088" max="12288" width="11.42578125" style="568"/>
    <col min="12289" max="12289" width="1.28515625" style="568" customWidth="1"/>
    <col min="12290" max="12290" width="5.140625" style="568" customWidth="1"/>
    <col min="12291" max="12291" width="13.42578125" style="568" customWidth="1"/>
    <col min="12292" max="12292" width="14.140625" style="568" customWidth="1"/>
    <col min="12293" max="12293" width="16.42578125" style="568" customWidth="1"/>
    <col min="12294" max="12294" width="14.140625" style="568" customWidth="1"/>
    <col min="12295" max="12295" width="13" style="568" customWidth="1"/>
    <col min="12296" max="12299" width="9.42578125" style="568" customWidth="1"/>
    <col min="12300" max="12300" width="8.85546875" style="568" customWidth="1"/>
    <col min="12301" max="12301" width="9.28515625" style="568" customWidth="1"/>
    <col min="12302" max="12302" width="8.7109375" style="568" customWidth="1"/>
    <col min="12303" max="12304" width="9.28515625" style="568" customWidth="1"/>
    <col min="12305" max="12305" width="9.5703125" style="568" customWidth="1"/>
    <col min="12306" max="12306" width="8.28515625" style="568" customWidth="1"/>
    <col min="12307" max="12343" width="9.28515625" style="568" customWidth="1"/>
    <col min="12344" max="12544" width="11.42578125" style="568"/>
    <col min="12545" max="12545" width="1.28515625" style="568" customWidth="1"/>
    <col min="12546" max="12546" width="5.140625" style="568" customWidth="1"/>
    <col min="12547" max="12547" width="13.42578125" style="568" customWidth="1"/>
    <col min="12548" max="12548" width="14.140625" style="568" customWidth="1"/>
    <col min="12549" max="12549" width="16.42578125" style="568" customWidth="1"/>
    <col min="12550" max="12550" width="14.140625" style="568" customWidth="1"/>
    <col min="12551" max="12551" width="13" style="568" customWidth="1"/>
    <col min="12552" max="12555" width="9.42578125" style="568" customWidth="1"/>
    <col min="12556" max="12556" width="8.85546875" style="568" customWidth="1"/>
    <col min="12557" max="12557" width="9.28515625" style="568" customWidth="1"/>
    <col min="12558" max="12558" width="8.7109375" style="568" customWidth="1"/>
    <col min="12559" max="12560" width="9.28515625" style="568" customWidth="1"/>
    <col min="12561" max="12561" width="9.5703125" style="568" customWidth="1"/>
    <col min="12562" max="12562" width="8.28515625" style="568" customWidth="1"/>
    <col min="12563" max="12599" width="9.28515625" style="568" customWidth="1"/>
    <col min="12600" max="12800" width="11.42578125" style="568"/>
    <col min="12801" max="12801" width="1.28515625" style="568" customWidth="1"/>
    <col min="12802" max="12802" width="5.140625" style="568" customWidth="1"/>
    <col min="12803" max="12803" width="13.42578125" style="568" customWidth="1"/>
    <col min="12804" max="12804" width="14.140625" style="568" customWidth="1"/>
    <col min="12805" max="12805" width="16.42578125" style="568" customWidth="1"/>
    <col min="12806" max="12806" width="14.140625" style="568" customWidth="1"/>
    <col min="12807" max="12807" width="13" style="568" customWidth="1"/>
    <col min="12808" max="12811" width="9.42578125" style="568" customWidth="1"/>
    <col min="12812" max="12812" width="8.85546875" style="568" customWidth="1"/>
    <col min="12813" max="12813" width="9.28515625" style="568" customWidth="1"/>
    <col min="12814" max="12814" width="8.7109375" style="568" customWidth="1"/>
    <col min="12815" max="12816" width="9.28515625" style="568" customWidth="1"/>
    <col min="12817" max="12817" width="9.5703125" style="568" customWidth="1"/>
    <col min="12818" max="12818" width="8.28515625" style="568" customWidth="1"/>
    <col min="12819" max="12855" width="9.28515625" style="568" customWidth="1"/>
    <col min="12856" max="13056" width="11.42578125" style="568"/>
    <col min="13057" max="13057" width="1.28515625" style="568" customWidth="1"/>
    <col min="13058" max="13058" width="5.140625" style="568" customWidth="1"/>
    <col min="13059" max="13059" width="13.42578125" style="568" customWidth="1"/>
    <col min="13060" max="13060" width="14.140625" style="568" customWidth="1"/>
    <col min="13061" max="13061" width="16.42578125" style="568" customWidth="1"/>
    <col min="13062" max="13062" width="14.140625" style="568" customWidth="1"/>
    <col min="13063" max="13063" width="13" style="568" customWidth="1"/>
    <col min="13064" max="13067" width="9.42578125" style="568" customWidth="1"/>
    <col min="13068" max="13068" width="8.85546875" style="568" customWidth="1"/>
    <col min="13069" max="13069" width="9.28515625" style="568" customWidth="1"/>
    <col min="13070" max="13070" width="8.7109375" style="568" customWidth="1"/>
    <col min="13071" max="13072" width="9.28515625" style="568" customWidth="1"/>
    <col min="13073" max="13073" width="9.5703125" style="568" customWidth="1"/>
    <col min="13074" max="13074" width="8.28515625" style="568" customWidth="1"/>
    <col min="13075" max="13111" width="9.28515625" style="568" customWidth="1"/>
    <col min="13112" max="13312" width="11.42578125" style="568"/>
    <col min="13313" max="13313" width="1.28515625" style="568" customWidth="1"/>
    <col min="13314" max="13314" width="5.140625" style="568" customWidth="1"/>
    <col min="13315" max="13315" width="13.42578125" style="568" customWidth="1"/>
    <col min="13316" max="13316" width="14.140625" style="568" customWidth="1"/>
    <col min="13317" max="13317" width="16.42578125" style="568" customWidth="1"/>
    <col min="13318" max="13318" width="14.140625" style="568" customWidth="1"/>
    <col min="13319" max="13319" width="13" style="568" customWidth="1"/>
    <col min="13320" max="13323" width="9.42578125" style="568" customWidth="1"/>
    <col min="13324" max="13324" width="8.85546875" style="568" customWidth="1"/>
    <col min="13325" max="13325" width="9.28515625" style="568" customWidth="1"/>
    <col min="13326" max="13326" width="8.7109375" style="568" customWidth="1"/>
    <col min="13327" max="13328" width="9.28515625" style="568" customWidth="1"/>
    <col min="13329" max="13329" width="9.5703125" style="568" customWidth="1"/>
    <col min="13330" max="13330" width="8.28515625" style="568" customWidth="1"/>
    <col min="13331" max="13367" width="9.28515625" style="568" customWidth="1"/>
    <col min="13368" max="13568" width="11.42578125" style="568"/>
    <col min="13569" max="13569" width="1.28515625" style="568" customWidth="1"/>
    <col min="13570" max="13570" width="5.140625" style="568" customWidth="1"/>
    <col min="13571" max="13571" width="13.42578125" style="568" customWidth="1"/>
    <col min="13572" max="13572" width="14.140625" style="568" customWidth="1"/>
    <col min="13573" max="13573" width="16.42578125" style="568" customWidth="1"/>
    <col min="13574" max="13574" width="14.140625" style="568" customWidth="1"/>
    <col min="13575" max="13575" width="13" style="568" customWidth="1"/>
    <col min="13576" max="13579" width="9.42578125" style="568" customWidth="1"/>
    <col min="13580" max="13580" width="8.85546875" style="568" customWidth="1"/>
    <col min="13581" max="13581" width="9.28515625" style="568" customWidth="1"/>
    <col min="13582" max="13582" width="8.7109375" style="568" customWidth="1"/>
    <col min="13583" max="13584" width="9.28515625" style="568" customWidth="1"/>
    <col min="13585" max="13585" width="9.5703125" style="568" customWidth="1"/>
    <col min="13586" max="13586" width="8.28515625" style="568" customWidth="1"/>
    <col min="13587" max="13623" width="9.28515625" style="568" customWidth="1"/>
    <col min="13624" max="13824" width="11.42578125" style="568"/>
    <col min="13825" max="13825" width="1.28515625" style="568" customWidth="1"/>
    <col min="13826" max="13826" width="5.140625" style="568" customWidth="1"/>
    <col min="13827" max="13827" width="13.42578125" style="568" customWidth="1"/>
    <col min="13828" max="13828" width="14.140625" style="568" customWidth="1"/>
    <col min="13829" max="13829" width="16.42578125" style="568" customWidth="1"/>
    <col min="13830" max="13830" width="14.140625" style="568" customWidth="1"/>
    <col min="13831" max="13831" width="13" style="568" customWidth="1"/>
    <col min="13832" max="13835" width="9.42578125" style="568" customWidth="1"/>
    <col min="13836" max="13836" width="8.85546875" style="568" customWidth="1"/>
    <col min="13837" max="13837" width="9.28515625" style="568" customWidth="1"/>
    <col min="13838" max="13838" width="8.7109375" style="568" customWidth="1"/>
    <col min="13839" max="13840" width="9.28515625" style="568" customWidth="1"/>
    <col min="13841" max="13841" width="9.5703125" style="568" customWidth="1"/>
    <col min="13842" max="13842" width="8.28515625" style="568" customWidth="1"/>
    <col min="13843" max="13879" width="9.28515625" style="568" customWidth="1"/>
    <col min="13880" max="14080" width="11.42578125" style="568"/>
    <col min="14081" max="14081" width="1.28515625" style="568" customWidth="1"/>
    <col min="14082" max="14082" width="5.140625" style="568" customWidth="1"/>
    <col min="14083" max="14083" width="13.42578125" style="568" customWidth="1"/>
    <col min="14084" max="14084" width="14.140625" style="568" customWidth="1"/>
    <col min="14085" max="14085" width="16.42578125" style="568" customWidth="1"/>
    <col min="14086" max="14086" width="14.140625" style="568" customWidth="1"/>
    <col min="14087" max="14087" width="13" style="568" customWidth="1"/>
    <col min="14088" max="14091" width="9.42578125" style="568" customWidth="1"/>
    <col min="14092" max="14092" width="8.85546875" style="568" customWidth="1"/>
    <col min="14093" max="14093" width="9.28515625" style="568" customWidth="1"/>
    <col min="14094" max="14094" width="8.7109375" style="568" customWidth="1"/>
    <col min="14095" max="14096" width="9.28515625" style="568" customWidth="1"/>
    <col min="14097" max="14097" width="9.5703125" style="568" customWidth="1"/>
    <col min="14098" max="14098" width="8.28515625" style="568" customWidth="1"/>
    <col min="14099" max="14135" width="9.28515625" style="568" customWidth="1"/>
    <col min="14136" max="14336" width="11.42578125" style="568"/>
    <col min="14337" max="14337" width="1.28515625" style="568" customWidth="1"/>
    <col min="14338" max="14338" width="5.140625" style="568" customWidth="1"/>
    <col min="14339" max="14339" width="13.42578125" style="568" customWidth="1"/>
    <col min="14340" max="14340" width="14.140625" style="568" customWidth="1"/>
    <col min="14341" max="14341" width="16.42578125" style="568" customWidth="1"/>
    <col min="14342" max="14342" width="14.140625" style="568" customWidth="1"/>
    <col min="14343" max="14343" width="13" style="568" customWidth="1"/>
    <col min="14344" max="14347" width="9.42578125" style="568" customWidth="1"/>
    <col min="14348" max="14348" width="8.85546875" style="568" customWidth="1"/>
    <col min="14349" max="14349" width="9.28515625" style="568" customWidth="1"/>
    <col min="14350" max="14350" width="8.7109375" style="568" customWidth="1"/>
    <col min="14351" max="14352" width="9.28515625" style="568" customWidth="1"/>
    <col min="14353" max="14353" width="9.5703125" style="568" customWidth="1"/>
    <col min="14354" max="14354" width="8.28515625" style="568" customWidth="1"/>
    <col min="14355" max="14391" width="9.28515625" style="568" customWidth="1"/>
    <col min="14392" max="14592" width="11.42578125" style="568"/>
    <col min="14593" max="14593" width="1.28515625" style="568" customWidth="1"/>
    <col min="14594" max="14594" width="5.140625" style="568" customWidth="1"/>
    <col min="14595" max="14595" width="13.42578125" style="568" customWidth="1"/>
    <col min="14596" max="14596" width="14.140625" style="568" customWidth="1"/>
    <col min="14597" max="14597" width="16.42578125" style="568" customWidth="1"/>
    <col min="14598" max="14598" width="14.140625" style="568" customWidth="1"/>
    <col min="14599" max="14599" width="13" style="568" customWidth="1"/>
    <col min="14600" max="14603" width="9.42578125" style="568" customWidth="1"/>
    <col min="14604" max="14604" width="8.85546875" style="568" customWidth="1"/>
    <col min="14605" max="14605" width="9.28515625" style="568" customWidth="1"/>
    <col min="14606" max="14606" width="8.7109375" style="568" customWidth="1"/>
    <col min="14607" max="14608" width="9.28515625" style="568" customWidth="1"/>
    <col min="14609" max="14609" width="9.5703125" style="568" customWidth="1"/>
    <col min="14610" max="14610" width="8.28515625" style="568" customWidth="1"/>
    <col min="14611" max="14647" width="9.28515625" style="568" customWidth="1"/>
    <col min="14648" max="14848" width="11.42578125" style="568"/>
    <col min="14849" max="14849" width="1.28515625" style="568" customWidth="1"/>
    <col min="14850" max="14850" width="5.140625" style="568" customWidth="1"/>
    <col min="14851" max="14851" width="13.42578125" style="568" customWidth="1"/>
    <col min="14852" max="14852" width="14.140625" style="568" customWidth="1"/>
    <col min="14853" max="14853" width="16.42578125" style="568" customWidth="1"/>
    <col min="14854" max="14854" width="14.140625" style="568" customWidth="1"/>
    <col min="14855" max="14855" width="13" style="568" customWidth="1"/>
    <col min="14856" max="14859" width="9.42578125" style="568" customWidth="1"/>
    <col min="14860" max="14860" width="8.85546875" style="568" customWidth="1"/>
    <col min="14861" max="14861" width="9.28515625" style="568" customWidth="1"/>
    <col min="14862" max="14862" width="8.7109375" style="568" customWidth="1"/>
    <col min="14863" max="14864" width="9.28515625" style="568" customWidth="1"/>
    <col min="14865" max="14865" width="9.5703125" style="568" customWidth="1"/>
    <col min="14866" max="14866" width="8.28515625" style="568" customWidth="1"/>
    <col min="14867" max="14903" width="9.28515625" style="568" customWidth="1"/>
    <col min="14904" max="15104" width="11.42578125" style="568"/>
    <col min="15105" max="15105" width="1.28515625" style="568" customWidth="1"/>
    <col min="15106" max="15106" width="5.140625" style="568" customWidth="1"/>
    <col min="15107" max="15107" width="13.42578125" style="568" customWidth="1"/>
    <col min="15108" max="15108" width="14.140625" style="568" customWidth="1"/>
    <col min="15109" max="15109" width="16.42578125" style="568" customWidth="1"/>
    <col min="15110" max="15110" width="14.140625" style="568" customWidth="1"/>
    <col min="15111" max="15111" width="13" style="568" customWidth="1"/>
    <col min="15112" max="15115" width="9.42578125" style="568" customWidth="1"/>
    <col min="15116" max="15116" width="8.85546875" style="568" customWidth="1"/>
    <col min="15117" max="15117" width="9.28515625" style="568" customWidth="1"/>
    <col min="15118" max="15118" width="8.7109375" style="568" customWidth="1"/>
    <col min="15119" max="15120" width="9.28515625" style="568" customWidth="1"/>
    <col min="15121" max="15121" width="9.5703125" style="568" customWidth="1"/>
    <col min="15122" max="15122" width="8.28515625" style="568" customWidth="1"/>
    <col min="15123" max="15159" width="9.28515625" style="568" customWidth="1"/>
    <col min="15160" max="15360" width="11.42578125" style="568"/>
    <col min="15361" max="15361" width="1.28515625" style="568" customWidth="1"/>
    <col min="15362" max="15362" width="5.140625" style="568" customWidth="1"/>
    <col min="15363" max="15363" width="13.42578125" style="568" customWidth="1"/>
    <col min="15364" max="15364" width="14.140625" style="568" customWidth="1"/>
    <col min="15365" max="15365" width="16.42578125" style="568" customWidth="1"/>
    <col min="15366" max="15366" width="14.140625" style="568" customWidth="1"/>
    <col min="15367" max="15367" width="13" style="568" customWidth="1"/>
    <col min="15368" max="15371" width="9.42578125" style="568" customWidth="1"/>
    <col min="15372" max="15372" width="8.85546875" style="568" customWidth="1"/>
    <col min="15373" max="15373" width="9.28515625" style="568" customWidth="1"/>
    <col min="15374" max="15374" width="8.7109375" style="568" customWidth="1"/>
    <col min="15375" max="15376" width="9.28515625" style="568" customWidth="1"/>
    <col min="15377" max="15377" width="9.5703125" style="568" customWidth="1"/>
    <col min="15378" max="15378" width="8.28515625" style="568" customWidth="1"/>
    <col min="15379" max="15415" width="9.28515625" style="568" customWidth="1"/>
    <col min="15416" max="15616" width="11.42578125" style="568"/>
    <col min="15617" max="15617" width="1.28515625" style="568" customWidth="1"/>
    <col min="15618" max="15618" width="5.140625" style="568" customWidth="1"/>
    <col min="15619" max="15619" width="13.42578125" style="568" customWidth="1"/>
    <col min="15620" max="15620" width="14.140625" style="568" customWidth="1"/>
    <col min="15621" max="15621" width="16.42578125" style="568" customWidth="1"/>
    <col min="15622" max="15622" width="14.140625" style="568" customWidth="1"/>
    <col min="15623" max="15623" width="13" style="568" customWidth="1"/>
    <col min="15624" max="15627" width="9.42578125" style="568" customWidth="1"/>
    <col min="15628" max="15628" width="8.85546875" style="568" customWidth="1"/>
    <col min="15629" max="15629" width="9.28515625" style="568" customWidth="1"/>
    <col min="15630" max="15630" width="8.7109375" style="568" customWidth="1"/>
    <col min="15631" max="15632" width="9.28515625" style="568" customWidth="1"/>
    <col min="15633" max="15633" width="9.5703125" style="568" customWidth="1"/>
    <col min="15634" max="15634" width="8.28515625" style="568" customWidth="1"/>
    <col min="15635" max="15671" width="9.28515625" style="568" customWidth="1"/>
    <col min="15672" max="15872" width="11.42578125" style="568"/>
    <col min="15873" max="15873" width="1.28515625" style="568" customWidth="1"/>
    <col min="15874" max="15874" width="5.140625" style="568" customWidth="1"/>
    <col min="15875" max="15875" width="13.42578125" style="568" customWidth="1"/>
    <col min="15876" max="15876" width="14.140625" style="568" customWidth="1"/>
    <col min="15877" max="15877" width="16.42578125" style="568" customWidth="1"/>
    <col min="15878" max="15878" width="14.140625" style="568" customWidth="1"/>
    <col min="15879" max="15879" width="13" style="568" customWidth="1"/>
    <col min="15880" max="15883" width="9.42578125" style="568" customWidth="1"/>
    <col min="15884" max="15884" width="8.85546875" style="568" customWidth="1"/>
    <col min="15885" max="15885" width="9.28515625" style="568" customWidth="1"/>
    <col min="15886" max="15886" width="8.7109375" style="568" customWidth="1"/>
    <col min="15887" max="15888" width="9.28515625" style="568" customWidth="1"/>
    <col min="15889" max="15889" width="9.5703125" style="568" customWidth="1"/>
    <col min="15890" max="15890" width="8.28515625" style="568" customWidth="1"/>
    <col min="15891" max="15927" width="9.28515625" style="568" customWidth="1"/>
    <col min="15928" max="16128" width="11.42578125" style="568"/>
    <col min="16129" max="16129" width="1.28515625" style="568" customWidth="1"/>
    <col min="16130" max="16130" width="5.140625" style="568" customWidth="1"/>
    <col min="16131" max="16131" width="13.42578125" style="568" customWidth="1"/>
    <col min="16132" max="16132" width="14.140625" style="568" customWidth="1"/>
    <col min="16133" max="16133" width="16.42578125" style="568" customWidth="1"/>
    <col min="16134" max="16134" width="14.140625" style="568" customWidth="1"/>
    <col min="16135" max="16135" width="13" style="568" customWidth="1"/>
    <col min="16136" max="16139" width="9.42578125" style="568" customWidth="1"/>
    <col min="16140" max="16140" width="8.85546875" style="568" customWidth="1"/>
    <col min="16141" max="16141" width="9.28515625" style="568" customWidth="1"/>
    <col min="16142" max="16142" width="8.7109375" style="568" customWidth="1"/>
    <col min="16143" max="16144" width="9.28515625" style="568" customWidth="1"/>
    <col min="16145" max="16145" width="9.5703125" style="568" customWidth="1"/>
    <col min="16146" max="16146" width="8.28515625" style="568" customWidth="1"/>
    <col min="16147" max="16183" width="9.28515625" style="568" customWidth="1"/>
    <col min="16184" max="16384" width="11.42578125" style="568"/>
  </cols>
  <sheetData>
    <row r="1" spans="2:55" ht="20.100000000000001" customHeight="1">
      <c r="C1" s="569"/>
      <c r="D1" s="570"/>
      <c r="E1" s="570"/>
      <c r="F1" s="570"/>
      <c r="G1" s="571"/>
      <c r="H1" s="571"/>
      <c r="I1" s="571"/>
      <c r="J1" s="571"/>
      <c r="K1" s="572"/>
      <c r="L1" s="572"/>
      <c r="M1" s="572"/>
      <c r="N1" s="572"/>
      <c r="O1" s="572"/>
      <c r="P1" s="572"/>
      <c r="Q1" s="572"/>
      <c r="R1" s="573"/>
      <c r="S1" s="569"/>
    </row>
    <row r="2" spans="2:55" ht="20.100000000000001" customHeight="1">
      <c r="C2" s="569"/>
      <c r="D2" s="570"/>
      <c r="E2" s="570"/>
      <c r="F2" s="570"/>
      <c r="G2" s="571"/>
      <c r="H2" s="571"/>
      <c r="I2" s="571"/>
      <c r="J2" s="571"/>
      <c r="K2" s="572"/>
      <c r="L2" s="572"/>
      <c r="M2" s="572"/>
      <c r="N2" s="572"/>
      <c r="O2" s="572"/>
      <c r="P2" s="572"/>
      <c r="Q2" s="572"/>
      <c r="R2" s="573"/>
      <c r="S2" s="569"/>
    </row>
    <row r="3" spans="2:55" ht="20.100000000000001" customHeight="1">
      <c r="C3" s="569"/>
      <c r="D3" s="570"/>
      <c r="E3" s="570"/>
      <c r="F3" s="570"/>
      <c r="G3" s="571"/>
      <c r="H3" s="571"/>
      <c r="I3" s="571"/>
      <c r="J3" s="571"/>
      <c r="K3" s="572"/>
      <c r="L3" s="572"/>
      <c r="M3" s="572"/>
      <c r="N3" s="572"/>
      <c r="O3" s="572"/>
      <c r="P3" s="572"/>
      <c r="Q3" s="572"/>
      <c r="R3" s="573"/>
      <c r="S3" s="569"/>
    </row>
    <row r="4" spans="2:55" ht="19.5" customHeight="1">
      <c r="B4" s="574"/>
      <c r="C4" s="569"/>
      <c r="D4" s="570"/>
      <c r="E4" s="570"/>
      <c r="F4" s="570"/>
      <c r="G4" s="571"/>
      <c r="H4" s="571"/>
      <c r="I4" s="571"/>
      <c r="J4" s="571"/>
      <c r="K4" s="572"/>
      <c r="L4" s="572"/>
      <c r="M4" s="572"/>
      <c r="N4" s="572"/>
      <c r="O4" s="572"/>
      <c r="P4" s="572"/>
      <c r="Q4" s="572"/>
      <c r="R4" s="573"/>
      <c r="S4" s="569"/>
    </row>
    <row r="5" spans="2:55" ht="12.75" customHeight="1">
      <c r="B5" s="575"/>
      <c r="C5" s="576"/>
      <c r="D5" s="577"/>
      <c r="E5" s="577"/>
      <c r="F5" s="577"/>
      <c r="G5" s="578"/>
      <c r="H5" s="578"/>
      <c r="I5" s="578"/>
      <c r="J5" s="578"/>
      <c r="K5" s="579"/>
      <c r="L5" s="579"/>
      <c r="M5" s="572"/>
      <c r="N5" s="316" t="s">
        <v>512</v>
      </c>
      <c r="O5" s="572"/>
      <c r="P5" s="316" t="s">
        <v>513</v>
      </c>
      <c r="Q5" s="572"/>
      <c r="R5" s="316"/>
      <c r="S5" s="569"/>
      <c r="T5" s="571"/>
      <c r="U5" s="571"/>
      <c r="V5" s="571"/>
      <c r="W5" s="572"/>
      <c r="X5" s="572"/>
      <c r="Y5" s="572"/>
      <c r="Z5" s="316" t="s">
        <v>910</v>
      </c>
      <c r="AA5" s="572"/>
      <c r="AB5" s="580" t="s">
        <v>513</v>
      </c>
      <c r="AC5" s="572"/>
      <c r="AD5" s="316"/>
      <c r="AE5" s="569"/>
      <c r="AF5" s="571"/>
      <c r="AG5" s="571"/>
      <c r="AH5" s="571"/>
      <c r="AI5" s="572"/>
      <c r="AJ5" s="572"/>
      <c r="AK5" s="572"/>
      <c r="AL5" s="316" t="s">
        <v>910</v>
      </c>
      <c r="AM5" s="572"/>
      <c r="AN5" s="580" t="s">
        <v>513</v>
      </c>
      <c r="AO5" s="572"/>
      <c r="AP5" s="316"/>
      <c r="AQ5" s="569"/>
      <c r="AR5" s="571"/>
      <c r="AS5" s="571"/>
      <c r="AT5" s="571"/>
      <c r="AU5" s="572"/>
      <c r="AV5" s="572"/>
      <c r="AW5" s="572"/>
      <c r="AX5" s="316" t="s">
        <v>910</v>
      </c>
      <c r="AY5" s="572"/>
      <c r="AZ5" s="316" t="s">
        <v>513</v>
      </c>
      <c r="BA5" s="572"/>
      <c r="BB5" s="316"/>
      <c r="BC5" s="569"/>
    </row>
    <row r="6" spans="2:55" ht="12.75" customHeight="1">
      <c r="B6" s="581"/>
      <c r="C6" s="576"/>
      <c r="D6" s="577"/>
      <c r="E6" s="577"/>
      <c r="F6" s="577"/>
      <c r="G6" s="578"/>
      <c r="H6" s="578"/>
      <c r="I6" s="578"/>
      <c r="J6" s="578"/>
      <c r="K6" s="579"/>
      <c r="L6" s="579"/>
      <c r="M6" s="572"/>
      <c r="N6" s="318">
        <f>[2]Orçamento!H7</f>
        <v>0</v>
      </c>
      <c r="O6" s="572"/>
      <c r="P6" s="582">
        <f>[2]Orçamento!J7</f>
        <v>0</v>
      </c>
      <c r="Q6" s="572"/>
      <c r="R6" s="319"/>
      <c r="S6" s="569"/>
      <c r="T6" s="571"/>
      <c r="U6" s="571"/>
      <c r="V6" s="571"/>
      <c r="W6" s="572"/>
      <c r="X6" s="572"/>
      <c r="Y6" s="572"/>
      <c r="Z6" s="582">
        <f>N6</f>
        <v>0</v>
      </c>
      <c r="AA6" s="572"/>
      <c r="AB6" s="582">
        <f>P6</f>
        <v>0</v>
      </c>
      <c r="AC6" s="572"/>
      <c r="AD6" s="319"/>
      <c r="AE6" s="569"/>
      <c r="AF6" s="571"/>
      <c r="AG6" s="571"/>
      <c r="AH6" s="571"/>
      <c r="AI6" s="572"/>
      <c r="AJ6" s="572"/>
      <c r="AK6" s="572"/>
      <c r="AL6" s="582">
        <f>N6</f>
        <v>0</v>
      </c>
      <c r="AM6" s="572"/>
      <c r="AN6" s="582">
        <f>P6</f>
        <v>0</v>
      </c>
      <c r="AO6" s="572"/>
      <c r="AP6" s="319"/>
      <c r="AQ6" s="569"/>
      <c r="AR6" s="571"/>
      <c r="AS6" s="571"/>
      <c r="AT6" s="571"/>
      <c r="AU6" s="572"/>
      <c r="AV6" s="572"/>
      <c r="AW6" s="572"/>
      <c r="AX6" s="582">
        <f>N6</f>
        <v>0</v>
      </c>
      <c r="AY6" s="572"/>
      <c r="AZ6" s="582">
        <f>P6</f>
        <v>0</v>
      </c>
      <c r="BA6" s="572"/>
      <c r="BB6" s="319"/>
      <c r="BC6" s="569"/>
    </row>
    <row r="7" spans="2:55" ht="4.5" customHeight="1">
      <c r="B7" s="583"/>
      <c r="C7" s="569"/>
      <c r="D7" s="570"/>
      <c r="E7" s="570"/>
      <c r="F7" s="570"/>
      <c r="G7" s="571"/>
      <c r="H7" s="571"/>
      <c r="I7" s="571"/>
      <c r="J7" s="571"/>
      <c r="K7" s="572"/>
      <c r="L7" s="572"/>
      <c r="M7" s="572"/>
      <c r="N7" s="318"/>
      <c r="O7" s="572"/>
      <c r="P7" s="318"/>
      <c r="Q7" s="572"/>
      <c r="R7" s="318"/>
      <c r="S7" s="569"/>
      <c r="T7" s="571"/>
      <c r="U7" s="571"/>
      <c r="V7" s="571"/>
      <c r="W7" s="572"/>
      <c r="X7" s="572"/>
      <c r="Y7" s="572"/>
      <c r="Z7" s="318"/>
      <c r="AA7" s="572"/>
      <c r="AB7" s="318"/>
      <c r="AC7" s="572"/>
      <c r="AD7" s="318"/>
      <c r="AE7" s="569"/>
      <c r="AF7" s="571"/>
      <c r="AG7" s="571"/>
      <c r="AH7" s="571"/>
      <c r="AI7" s="572"/>
      <c r="AJ7" s="572"/>
      <c r="AK7" s="572"/>
      <c r="AL7" s="318"/>
      <c r="AM7" s="572"/>
      <c r="AN7" s="318"/>
      <c r="AO7" s="572"/>
      <c r="AP7" s="318"/>
      <c r="AQ7" s="569"/>
      <c r="AR7" s="571"/>
      <c r="AS7" s="571"/>
      <c r="AT7" s="571"/>
      <c r="AU7" s="572"/>
      <c r="AV7" s="572"/>
      <c r="AW7" s="572"/>
      <c r="AX7" s="318"/>
      <c r="AY7" s="572"/>
      <c r="AZ7" s="318"/>
      <c r="BA7" s="572"/>
      <c r="BB7" s="318"/>
      <c r="BC7" s="569"/>
    </row>
    <row r="8" spans="2:55" ht="25.5">
      <c r="C8" s="569"/>
      <c r="D8" s="570"/>
      <c r="F8" s="315"/>
      <c r="G8" s="584" t="s">
        <v>911</v>
      </c>
      <c r="H8" s="571"/>
      <c r="I8" s="571"/>
      <c r="J8" s="571"/>
      <c r="K8" s="572"/>
      <c r="L8" s="572"/>
      <c r="M8" s="572"/>
      <c r="O8" s="315"/>
      <c r="P8" s="315"/>
      <c r="Q8" s="315"/>
      <c r="R8" s="315"/>
      <c r="S8" s="315"/>
      <c r="T8" s="571"/>
      <c r="U8" s="571"/>
      <c r="V8" s="571"/>
      <c r="W8" s="572"/>
      <c r="X8" s="572"/>
      <c r="Y8" s="572"/>
      <c r="AA8" s="315"/>
      <c r="AB8" s="315"/>
      <c r="AC8" s="315"/>
      <c r="AD8" s="315"/>
      <c r="AE8" s="315"/>
      <c r="AF8" s="571"/>
      <c r="AG8" s="571"/>
      <c r="AH8" s="571"/>
      <c r="AI8" s="572"/>
      <c r="AJ8" s="572"/>
      <c r="AK8" s="572"/>
      <c r="AM8" s="315"/>
      <c r="AN8" s="315"/>
      <c r="AO8" s="315"/>
      <c r="AP8" s="315"/>
      <c r="AQ8" s="315"/>
      <c r="AR8" s="571"/>
      <c r="AS8" s="571"/>
      <c r="AT8" s="571"/>
      <c r="AU8" s="572"/>
      <c r="AV8" s="572"/>
      <c r="AW8" s="572"/>
      <c r="AY8" s="315"/>
      <c r="AZ8" s="315"/>
      <c r="BA8" s="315"/>
      <c r="BB8" s="315"/>
      <c r="BC8" s="315"/>
    </row>
    <row r="9" spans="2:55" ht="18.75" customHeight="1">
      <c r="C9" s="569"/>
      <c r="D9" s="570"/>
      <c r="E9" s="585"/>
      <c r="F9" s="315"/>
      <c r="H9" s="571"/>
      <c r="I9" s="587"/>
      <c r="J9" s="571"/>
      <c r="L9" s="315"/>
      <c r="M9" s="315"/>
      <c r="N9" s="315"/>
      <c r="O9" s="315"/>
      <c r="P9" s="315"/>
      <c r="Q9" s="315"/>
      <c r="R9" s="315"/>
      <c r="S9" s="315"/>
      <c r="T9" s="571"/>
      <c r="U9" s="587">
        <f>I9</f>
        <v>0</v>
      </c>
      <c r="V9" s="571"/>
      <c r="X9" s="315"/>
      <c r="Y9" s="315"/>
      <c r="Z9" s="315"/>
      <c r="AA9" s="315"/>
      <c r="AB9" s="315"/>
      <c r="AC9" s="315"/>
      <c r="AD9" s="315"/>
      <c r="AE9" s="315"/>
      <c r="AF9" s="571"/>
      <c r="AG9" s="588">
        <f>U9</f>
        <v>0</v>
      </c>
      <c r="AH9" s="571"/>
      <c r="AJ9" s="315"/>
      <c r="AK9" s="315"/>
      <c r="AL9" s="315"/>
      <c r="AM9" s="315"/>
      <c r="AN9" s="315"/>
      <c r="AO9" s="315"/>
      <c r="AP9" s="315"/>
      <c r="AQ9" s="315"/>
      <c r="AR9" s="571"/>
      <c r="AS9" s="588">
        <f>AG9</f>
        <v>0</v>
      </c>
      <c r="AT9" s="571"/>
      <c r="AV9" s="315"/>
      <c r="AW9" s="315"/>
      <c r="AX9" s="315"/>
      <c r="AY9" s="315"/>
      <c r="AZ9" s="315"/>
      <c r="BA9" s="315"/>
      <c r="BB9" s="315"/>
      <c r="BC9" s="315"/>
    </row>
    <row r="10" spans="2:55" ht="4.5" customHeight="1">
      <c r="B10" s="574"/>
      <c r="C10" s="569"/>
      <c r="D10" s="570"/>
      <c r="E10" s="570"/>
      <c r="F10" s="570"/>
      <c r="G10" s="571"/>
      <c r="H10" s="571"/>
      <c r="I10" s="571"/>
      <c r="J10" s="571"/>
      <c r="K10" s="572"/>
      <c r="L10" s="572"/>
      <c r="M10" s="572"/>
      <c r="N10" s="572"/>
      <c r="O10" s="572"/>
      <c r="P10" s="572"/>
      <c r="Q10" s="315"/>
      <c r="R10" s="315"/>
      <c r="S10" s="315"/>
      <c r="T10" s="571"/>
      <c r="U10" s="571"/>
      <c r="V10" s="571"/>
      <c r="W10" s="572"/>
      <c r="X10" s="572"/>
      <c r="Y10" s="572"/>
      <c r="Z10" s="572"/>
      <c r="AA10" s="572"/>
      <c r="AB10" s="572"/>
      <c r="AC10" s="315"/>
      <c r="AD10" s="315"/>
      <c r="AE10" s="315"/>
      <c r="AF10" s="571"/>
      <c r="AG10" s="571"/>
      <c r="AH10" s="571"/>
      <c r="AI10" s="572"/>
      <c r="AJ10" s="572"/>
      <c r="AK10" s="572"/>
      <c r="AL10" s="572"/>
      <c r="AM10" s="572"/>
      <c r="AN10" s="572"/>
      <c r="AO10" s="315"/>
      <c r="AP10" s="315"/>
      <c r="AQ10" s="315"/>
      <c r="AR10" s="571"/>
      <c r="AS10" s="571"/>
      <c r="AT10" s="571"/>
      <c r="AU10" s="572"/>
      <c r="AV10" s="572"/>
      <c r="AW10" s="572"/>
      <c r="AX10" s="572"/>
      <c r="AY10" s="572"/>
      <c r="AZ10" s="572"/>
      <c r="BA10" s="315"/>
      <c r="BB10" s="315"/>
      <c r="BC10" s="315"/>
    </row>
    <row r="11" spans="2:55">
      <c r="B11" s="589" t="s">
        <v>912</v>
      </c>
      <c r="C11" s="590"/>
      <c r="I11" s="568" t="s">
        <v>913</v>
      </c>
      <c r="J11" s="592"/>
      <c r="K11" s="592"/>
      <c r="R11" s="592"/>
      <c r="S11" s="593"/>
      <c r="U11" s="568" t="s">
        <v>913</v>
      </c>
      <c r="V11" s="592"/>
      <c r="W11" s="592"/>
      <c r="AD11" s="592"/>
      <c r="AE11" s="593"/>
      <c r="AG11" s="568" t="s">
        <v>913</v>
      </c>
      <c r="AH11" s="592"/>
      <c r="AI11" s="592"/>
      <c r="AP11" s="592"/>
      <c r="AQ11" s="593"/>
      <c r="AS11" s="568" t="s">
        <v>913</v>
      </c>
      <c r="AT11" s="592"/>
      <c r="AU11" s="592"/>
      <c r="BB11" s="592"/>
      <c r="BC11" s="593"/>
    </row>
    <row r="12" spans="2:55">
      <c r="B12" s="594" t="s">
        <v>914</v>
      </c>
      <c r="C12" s="595"/>
      <c r="D12" s="596"/>
      <c r="E12" s="597"/>
      <c r="F12" s="598"/>
      <c r="G12" s="599"/>
      <c r="H12" s="595"/>
      <c r="I12" s="595"/>
      <c r="J12" s="600" t="s">
        <v>915</v>
      </c>
      <c r="K12" s="601"/>
      <c r="L12" s="602" t="s">
        <v>916</v>
      </c>
      <c r="P12" s="595"/>
      <c r="Q12" s="603"/>
      <c r="R12" s="603"/>
      <c r="S12" s="604"/>
      <c r="T12" s="595"/>
      <c r="U12" s="595"/>
      <c r="V12" s="600" t="s">
        <v>915</v>
      </c>
      <c r="W12" s="605">
        <f>K12</f>
        <v>0</v>
      </c>
      <c r="AB12" s="595"/>
      <c r="AC12" s="603"/>
      <c r="AD12" s="603"/>
      <c r="AE12" s="604"/>
      <c r="AF12" s="595"/>
      <c r="AG12" s="595"/>
      <c r="AH12" s="600" t="s">
        <v>915</v>
      </c>
      <c r="AI12" s="605">
        <f>W12</f>
        <v>0</v>
      </c>
      <c r="AN12" s="595"/>
      <c r="AO12" s="603"/>
      <c r="AP12" s="603"/>
      <c r="AQ12" s="604"/>
      <c r="AR12" s="595"/>
      <c r="AS12" s="595"/>
      <c r="AT12" s="600" t="s">
        <v>915</v>
      </c>
      <c r="AU12" s="605">
        <f>AI12</f>
        <v>0</v>
      </c>
      <c r="AZ12" s="595"/>
      <c r="BA12" s="603"/>
      <c r="BB12" s="603"/>
      <c r="BC12" s="604"/>
    </row>
    <row r="13" spans="2:55">
      <c r="B13" s="594" t="s">
        <v>906</v>
      </c>
      <c r="C13" s="595"/>
      <c r="E13" s="606"/>
      <c r="F13" s="607"/>
      <c r="I13" s="595"/>
      <c r="J13" s="600" t="s">
        <v>917</v>
      </c>
      <c r="K13" s="603"/>
      <c r="L13" s="595"/>
      <c r="M13" s="595"/>
      <c r="N13" s="595"/>
      <c r="O13" s="608"/>
      <c r="P13" s="595"/>
      <c r="Q13" s="603"/>
      <c r="R13" s="603"/>
      <c r="S13" s="604"/>
      <c r="T13" s="609" t="e">
        <f>#REF!</f>
        <v>#REF!</v>
      </c>
      <c r="U13" s="595"/>
      <c r="V13" s="603"/>
      <c r="W13" s="603"/>
      <c r="X13" s="595"/>
      <c r="Y13" s="595"/>
      <c r="Z13" s="595"/>
      <c r="AA13" s="608"/>
      <c r="AB13" s="595"/>
      <c r="AC13" s="603"/>
      <c r="AD13" s="603"/>
      <c r="AE13" s="604"/>
      <c r="AF13" s="610" t="e">
        <f>T13</f>
        <v>#REF!</v>
      </c>
      <c r="AG13" s="595"/>
      <c r="AH13" s="603"/>
      <c r="AI13" s="603"/>
      <c r="AJ13" s="595"/>
      <c r="AK13" s="595"/>
      <c r="AL13" s="595"/>
      <c r="AM13" s="608"/>
      <c r="AN13" s="595"/>
      <c r="AO13" s="603"/>
      <c r="AP13" s="603"/>
      <c r="AQ13" s="604"/>
      <c r="AR13" s="610" t="e">
        <f>AF13</f>
        <v>#REF!</v>
      </c>
      <c r="AS13" s="595"/>
      <c r="AT13" s="603"/>
      <c r="AU13" s="603"/>
      <c r="AV13" s="595"/>
      <c r="AW13" s="595"/>
      <c r="AX13" s="595"/>
      <c r="AY13" s="608"/>
      <c r="AZ13" s="595"/>
      <c r="BA13" s="603"/>
      <c r="BB13" s="603"/>
      <c r="BC13" s="604"/>
    </row>
    <row r="14" spans="2:55">
      <c r="B14" s="594" t="s">
        <v>918</v>
      </c>
      <c r="C14" s="595"/>
      <c r="D14" s="315"/>
      <c r="E14" s="606" t="str">
        <f>IF([2]Orçamento!D15&lt;&gt;0,[2]Orçamento!D15," ")</f>
        <v xml:space="preserve"> </v>
      </c>
      <c r="F14" s="607"/>
      <c r="G14" s="599"/>
      <c r="J14" s="600" t="s">
        <v>919</v>
      </c>
      <c r="K14" s="606"/>
      <c r="L14" s="595"/>
      <c r="M14" s="595"/>
      <c r="N14" s="595"/>
      <c r="O14" s="595"/>
      <c r="P14" s="595"/>
      <c r="Q14" s="603"/>
      <c r="R14" s="603"/>
      <c r="S14" s="604"/>
      <c r="V14" s="611" t="s">
        <v>920</v>
      </c>
      <c r="W14" s="596">
        <f>K14</f>
        <v>0</v>
      </c>
      <c r="X14" s="595"/>
      <c r="Y14" s="595"/>
      <c r="Z14" s="595"/>
      <c r="AA14" s="595"/>
      <c r="AB14" s="595"/>
      <c r="AC14" s="603"/>
      <c r="AD14" s="603"/>
      <c r="AE14" s="604"/>
      <c r="AH14" s="611" t="s">
        <v>920</v>
      </c>
      <c r="AI14" s="596">
        <f>W14</f>
        <v>0</v>
      </c>
      <c r="AJ14" s="595"/>
      <c r="AK14" s="595"/>
      <c r="AL14" s="595"/>
      <c r="AM14" s="595"/>
      <c r="AN14" s="595"/>
      <c r="AO14" s="603"/>
      <c r="AP14" s="603"/>
      <c r="AQ14" s="604"/>
      <c r="AT14" s="611" t="s">
        <v>920</v>
      </c>
      <c r="AU14" s="596">
        <f>AI14</f>
        <v>0</v>
      </c>
      <c r="AV14" s="595"/>
      <c r="AW14" s="595"/>
      <c r="AX14" s="595"/>
      <c r="AY14" s="595"/>
      <c r="AZ14" s="595"/>
      <c r="BA14" s="603"/>
      <c r="BB14" s="603"/>
      <c r="BC14" s="604"/>
    </row>
    <row r="15" spans="2:55" ht="1.5" customHeight="1">
      <c r="B15" s="612"/>
      <c r="C15" s="595"/>
      <c r="D15" s="575"/>
      <c r="F15" s="607"/>
      <c r="G15" s="599"/>
      <c r="H15" s="595"/>
      <c r="I15" s="595"/>
      <c r="J15" s="603"/>
      <c r="K15" s="603"/>
      <c r="L15" s="595"/>
      <c r="M15" s="595"/>
      <c r="N15" s="595"/>
      <c r="O15" s="595"/>
      <c r="P15" s="595"/>
      <c r="Q15" s="603"/>
      <c r="R15" s="603"/>
      <c r="S15" s="604"/>
      <c r="T15" s="595"/>
      <c r="U15" s="595"/>
      <c r="V15" s="603"/>
      <c r="W15" s="603"/>
      <c r="X15" s="595"/>
      <c r="Y15" s="595"/>
      <c r="Z15" s="595"/>
      <c r="AA15" s="595"/>
      <c r="AB15" s="595"/>
      <c r="AC15" s="603"/>
      <c r="AD15" s="603"/>
      <c r="AE15" s="604"/>
      <c r="AF15" s="595"/>
      <c r="AG15" s="595"/>
      <c r="AH15" s="603"/>
      <c r="AI15" s="603"/>
      <c r="AJ15" s="595"/>
      <c r="AK15" s="595"/>
      <c r="AL15" s="595"/>
      <c r="AM15" s="595"/>
      <c r="AN15" s="595"/>
      <c r="AO15" s="603"/>
      <c r="AP15" s="603"/>
      <c r="AQ15" s="604"/>
      <c r="AR15" s="595"/>
      <c r="AS15" s="595"/>
      <c r="AT15" s="603"/>
      <c r="AU15" s="603"/>
      <c r="AV15" s="595"/>
      <c r="AW15" s="595"/>
      <c r="AX15" s="595"/>
      <c r="AY15" s="595"/>
      <c r="AZ15" s="595"/>
      <c r="BA15" s="603"/>
      <c r="BB15" s="603"/>
      <c r="BC15" s="604"/>
    </row>
    <row r="16" spans="2:55">
      <c r="B16" s="594" t="s">
        <v>921</v>
      </c>
      <c r="C16" s="595"/>
      <c r="D16" s="613"/>
      <c r="E16" s="614"/>
      <c r="F16" s="607"/>
      <c r="G16" s="600"/>
      <c r="I16" s="595"/>
      <c r="J16" s="600" t="s">
        <v>922</v>
      </c>
      <c r="K16" s="606"/>
      <c r="L16" s="595"/>
      <c r="M16" s="600" t="s">
        <v>923</v>
      </c>
      <c r="N16" s="606"/>
      <c r="O16" s="315"/>
      <c r="P16" s="603"/>
      <c r="Q16" s="603"/>
      <c r="R16" s="595"/>
      <c r="S16" s="604"/>
      <c r="T16" s="609">
        <f>E16</f>
        <v>0</v>
      </c>
      <c r="U16" s="595"/>
      <c r="V16" s="603"/>
      <c r="W16" s="615"/>
      <c r="X16" s="595"/>
      <c r="Y16" s="595"/>
      <c r="Z16" s="603"/>
      <c r="AA16" s="315"/>
      <c r="AB16" s="603"/>
      <c r="AC16" s="603"/>
      <c r="AD16" s="595"/>
      <c r="AE16" s="604"/>
      <c r="AF16" s="609">
        <f>T16</f>
        <v>0</v>
      </c>
      <c r="AG16" s="595"/>
      <c r="AH16" s="603"/>
      <c r="AI16" s="615"/>
      <c r="AJ16" s="595"/>
      <c r="AK16" s="595"/>
      <c r="AL16" s="603"/>
      <c r="AM16" s="315"/>
      <c r="AN16" s="603"/>
      <c r="AO16" s="603"/>
      <c r="AP16" s="595"/>
      <c r="AQ16" s="604"/>
      <c r="AR16" s="609">
        <f>AF16</f>
        <v>0</v>
      </c>
      <c r="AS16" s="595"/>
      <c r="AT16" s="603"/>
      <c r="AU16" s="615"/>
      <c r="AV16" s="595"/>
      <c r="AW16" s="595"/>
      <c r="AX16" s="603"/>
      <c r="AY16" s="315"/>
      <c r="AZ16" s="603"/>
      <c r="BA16" s="603"/>
      <c r="BB16" s="595"/>
      <c r="BC16" s="604"/>
    </row>
    <row r="17" spans="2:55">
      <c r="B17" s="594" t="s">
        <v>924</v>
      </c>
      <c r="C17" s="595"/>
      <c r="D17" s="613"/>
      <c r="E17" s="614"/>
      <c r="F17" s="607"/>
      <c r="G17" s="568"/>
      <c r="J17" s="611" t="s">
        <v>925</v>
      </c>
      <c r="K17" s="1149"/>
      <c r="L17" s="1149"/>
      <c r="M17" s="616" t="s">
        <v>926</v>
      </c>
      <c r="N17" s="1150"/>
      <c r="O17" s="1150"/>
      <c r="P17" s="617"/>
      <c r="Q17" s="315"/>
      <c r="R17" s="618"/>
      <c r="S17" s="619"/>
      <c r="V17" s="611" t="s">
        <v>927</v>
      </c>
      <c r="W17" s="609">
        <f>K17</f>
        <v>0</v>
      </c>
      <c r="X17" s="315"/>
      <c r="Y17" s="616" t="s">
        <v>928</v>
      </c>
      <c r="Z17" s="620">
        <f>N17</f>
        <v>0</v>
      </c>
      <c r="AA17" s="595"/>
      <c r="AB17" s="617"/>
      <c r="AC17" s="315"/>
      <c r="AD17" s="618"/>
      <c r="AE17" s="619"/>
      <c r="AH17" s="611" t="s">
        <v>927</v>
      </c>
      <c r="AI17" s="609">
        <f>W17</f>
        <v>0</v>
      </c>
      <c r="AJ17" s="315"/>
      <c r="AK17" s="616" t="s">
        <v>928</v>
      </c>
      <c r="AL17" s="620">
        <f>Z17</f>
        <v>0</v>
      </c>
      <c r="AM17" s="595"/>
      <c r="AN17" s="617"/>
      <c r="AO17" s="315"/>
      <c r="AP17" s="618"/>
      <c r="AQ17" s="619"/>
      <c r="AT17" s="611" t="s">
        <v>927</v>
      </c>
      <c r="AU17" s="609">
        <f>AI17</f>
        <v>0</v>
      </c>
      <c r="AV17" s="315"/>
      <c r="AW17" s="616" t="s">
        <v>928</v>
      </c>
      <c r="AX17" s="620">
        <f>AL17</f>
        <v>0</v>
      </c>
      <c r="AY17" s="595"/>
      <c r="AZ17" s="617"/>
      <c r="BA17" s="315"/>
      <c r="BB17" s="618"/>
      <c r="BC17" s="619"/>
    </row>
    <row r="18" spans="2:55" ht="1.5" customHeight="1">
      <c r="B18" s="621"/>
      <c r="C18" s="622"/>
      <c r="D18" s="622"/>
      <c r="E18" s="622"/>
      <c r="F18" s="623"/>
      <c r="G18" s="624"/>
      <c r="H18" s="622"/>
      <c r="I18" s="622"/>
      <c r="J18" s="622"/>
      <c r="K18" s="622"/>
      <c r="L18" s="622"/>
      <c r="M18" s="622"/>
      <c r="N18" s="622"/>
      <c r="O18" s="622"/>
      <c r="P18" s="622"/>
      <c r="Q18" s="622"/>
      <c r="R18" s="622"/>
      <c r="S18" s="622"/>
      <c r="T18" s="622"/>
      <c r="U18" s="622"/>
      <c r="V18" s="622"/>
      <c r="W18" s="622"/>
      <c r="X18" s="622"/>
      <c r="Y18" s="622"/>
      <c r="Z18" s="622"/>
      <c r="AA18" s="622"/>
      <c r="AB18" s="622"/>
      <c r="AC18" s="622"/>
      <c r="AD18" s="622"/>
      <c r="AE18" s="622"/>
      <c r="AF18" s="622"/>
      <c r="AG18" s="622"/>
      <c r="AH18" s="622"/>
      <c r="AI18" s="622"/>
      <c r="AJ18" s="622"/>
      <c r="AK18" s="622"/>
      <c r="AL18" s="622"/>
      <c r="AM18" s="622"/>
      <c r="AN18" s="622"/>
      <c r="AO18" s="622"/>
      <c r="AP18" s="622"/>
      <c r="AQ18" s="622"/>
      <c r="AR18" s="622"/>
      <c r="AS18" s="622"/>
      <c r="AT18" s="622"/>
      <c r="AU18" s="622"/>
      <c r="AV18" s="622"/>
      <c r="AW18" s="622"/>
      <c r="AX18" s="622"/>
      <c r="AY18" s="622"/>
      <c r="AZ18" s="622"/>
      <c r="BA18" s="622"/>
      <c r="BB18" s="622"/>
      <c r="BC18" s="622"/>
    </row>
    <row r="19" spans="2:55" ht="4.5" customHeight="1">
      <c r="B19" s="603"/>
      <c r="C19" s="625"/>
      <c r="D19" s="603"/>
      <c r="E19" s="603"/>
      <c r="F19" s="626"/>
      <c r="G19" s="627"/>
      <c r="H19" s="603"/>
      <c r="I19" s="595"/>
      <c r="J19" s="603"/>
      <c r="K19" s="603"/>
      <c r="L19" s="595"/>
      <c r="M19" s="595"/>
      <c r="N19" s="595"/>
      <c r="O19" s="595"/>
      <c r="P19" s="595"/>
      <c r="Q19" s="595"/>
      <c r="R19" s="603"/>
      <c r="S19" s="595"/>
      <c r="T19" s="603"/>
      <c r="U19" s="595"/>
      <c r="V19" s="603"/>
      <c r="W19" s="603"/>
      <c r="X19" s="595"/>
      <c r="Y19" s="595"/>
      <c r="Z19" s="595"/>
      <c r="AA19" s="595"/>
      <c r="AB19" s="595"/>
      <c r="AC19" s="595"/>
      <c r="AD19" s="603"/>
      <c r="AE19" s="595"/>
      <c r="AF19" s="603"/>
      <c r="AG19" s="595"/>
      <c r="AH19" s="603"/>
      <c r="AI19" s="603"/>
      <c r="AJ19" s="595"/>
      <c r="AK19" s="595"/>
      <c r="AL19" s="595"/>
      <c r="AM19" s="595"/>
      <c r="AN19" s="595"/>
      <c r="AO19" s="595"/>
      <c r="AP19" s="603"/>
      <c r="AQ19" s="595"/>
      <c r="AR19" s="603"/>
      <c r="AS19" s="595"/>
      <c r="AT19" s="603"/>
      <c r="AU19" s="603"/>
      <c r="AV19" s="595"/>
      <c r="AW19" s="595"/>
      <c r="AX19" s="595"/>
      <c r="AY19" s="595"/>
      <c r="AZ19" s="595"/>
      <c r="BA19" s="595"/>
      <c r="BB19" s="603"/>
      <c r="BC19" s="595"/>
    </row>
    <row r="20" spans="2:55" ht="13.5" thickBot="1">
      <c r="B20" s="628" t="s">
        <v>929</v>
      </c>
      <c r="C20" s="629"/>
      <c r="J20" s="592"/>
      <c r="K20" s="592"/>
      <c r="L20" s="592"/>
      <c r="M20" s="592"/>
      <c r="N20" s="592"/>
      <c r="O20" s="592"/>
      <c r="P20" s="592"/>
      <c r="Q20" s="592"/>
      <c r="R20" s="592"/>
      <c r="S20" s="592"/>
    </row>
    <row r="21" spans="2:55">
      <c r="B21" s="630"/>
      <c r="C21" s="631"/>
      <c r="D21" s="632"/>
      <c r="E21" s="632"/>
      <c r="F21" s="633"/>
      <c r="G21" s="634"/>
      <c r="H21" s="635"/>
      <c r="I21" s="635"/>
      <c r="J21" s="635"/>
      <c r="K21" s="635"/>
      <c r="L21" s="636" t="s">
        <v>930</v>
      </c>
      <c r="M21" s="635"/>
      <c r="N21" s="635"/>
      <c r="O21" s="635"/>
      <c r="P21" s="635" t="s">
        <v>913</v>
      </c>
      <c r="Q21" s="636" t="s">
        <v>913</v>
      </c>
      <c r="R21" s="636" t="s">
        <v>913</v>
      </c>
      <c r="S21" s="637"/>
      <c r="T21" s="635"/>
      <c r="U21" s="635"/>
      <c r="V21" s="635"/>
      <c r="W21" s="635"/>
      <c r="X21" s="636" t="s">
        <v>930</v>
      </c>
      <c r="Y21" s="635"/>
      <c r="Z21" s="635"/>
      <c r="AA21" s="635"/>
      <c r="AB21" s="635" t="s">
        <v>913</v>
      </c>
      <c r="AC21" s="636" t="s">
        <v>913</v>
      </c>
      <c r="AD21" s="636" t="s">
        <v>913</v>
      </c>
      <c r="AE21" s="637"/>
      <c r="AF21" s="635"/>
      <c r="AG21" s="635"/>
      <c r="AH21" s="635"/>
      <c r="AI21" s="635"/>
      <c r="AJ21" s="636" t="s">
        <v>930</v>
      </c>
      <c r="AK21" s="635"/>
      <c r="AL21" s="635"/>
      <c r="AM21" s="635"/>
      <c r="AN21" s="635" t="s">
        <v>913</v>
      </c>
      <c r="AO21" s="636" t="s">
        <v>913</v>
      </c>
      <c r="AP21" s="636" t="s">
        <v>913</v>
      </c>
      <c r="AQ21" s="637"/>
      <c r="AR21" s="635"/>
      <c r="AS21" s="635"/>
      <c r="AT21" s="635"/>
      <c r="AU21" s="635"/>
      <c r="AV21" s="636" t="s">
        <v>930</v>
      </c>
      <c r="AW21" s="635"/>
      <c r="AX21" s="635"/>
      <c r="AY21" s="635"/>
      <c r="AZ21" s="635" t="s">
        <v>913</v>
      </c>
      <c r="BA21" s="636" t="s">
        <v>913</v>
      </c>
      <c r="BB21" s="636" t="s">
        <v>913</v>
      </c>
      <c r="BC21" s="637"/>
    </row>
    <row r="22" spans="2:55">
      <c r="B22" s="638" t="s">
        <v>397</v>
      </c>
      <c r="C22" s="639" t="s">
        <v>931</v>
      </c>
      <c r="D22" s="640"/>
      <c r="E22" s="639" t="s">
        <v>932</v>
      </c>
      <c r="F22" s="641" t="s">
        <v>933</v>
      </c>
      <c r="G22" s="641" t="s">
        <v>934</v>
      </c>
      <c r="H22" s="642" t="s">
        <v>935</v>
      </c>
      <c r="I22" s="643">
        <v>1</v>
      </c>
      <c r="J22" s="642" t="s">
        <v>936</v>
      </c>
      <c r="K22" s="643">
        <f>IF(I63&lt;99,I22+1," ")</f>
        <v>2</v>
      </c>
      <c r="L22" s="642" t="s">
        <v>936</v>
      </c>
      <c r="M22" s="643">
        <f>IF(K63&lt;99,K22+1," ")</f>
        <v>3</v>
      </c>
      <c r="N22" s="642" t="s">
        <v>936</v>
      </c>
      <c r="O22" s="643">
        <f>IF(M63&lt;99,M22+1," ")</f>
        <v>4</v>
      </c>
      <c r="P22" s="642" t="s">
        <v>936</v>
      </c>
      <c r="Q22" s="643">
        <f>IF(O63&lt;99,O22+1," ")</f>
        <v>5</v>
      </c>
      <c r="R22" s="642" t="s">
        <v>936</v>
      </c>
      <c r="S22" s="644">
        <f>IF(Q63&lt;99,Q22+1," ")</f>
        <v>6</v>
      </c>
      <c r="T22" s="642" t="s">
        <v>935</v>
      </c>
      <c r="U22" s="643">
        <f>IF(S63&lt;99,S22+1," ")</f>
        <v>7</v>
      </c>
      <c r="V22" s="642" t="s">
        <v>936</v>
      </c>
      <c r="W22" s="643">
        <f>IF(U63&lt;99,U22+1," ")</f>
        <v>8</v>
      </c>
      <c r="X22" s="642" t="s">
        <v>936</v>
      </c>
      <c r="Y22" s="643">
        <f>IF(W63&lt;99,W22+1," ")</f>
        <v>9</v>
      </c>
      <c r="Z22" s="642" t="s">
        <v>936</v>
      </c>
      <c r="AA22" s="643">
        <f>IF(Y63&lt;99,Y22+1," ")</f>
        <v>10</v>
      </c>
      <c r="AB22" s="642" t="s">
        <v>936</v>
      </c>
      <c r="AC22" s="643">
        <f>IF(AA63&lt;99,AA22+1," ")</f>
        <v>11</v>
      </c>
      <c r="AD22" s="642" t="s">
        <v>936</v>
      </c>
      <c r="AE22" s="644">
        <f>IF(AC63&lt;99,AC22+1," ")</f>
        <v>12</v>
      </c>
      <c r="AF22" s="642" t="s">
        <v>935</v>
      </c>
      <c r="AG22" s="643">
        <f>IF(AE63&lt;99,AE22+1," ")</f>
        <v>13</v>
      </c>
      <c r="AH22" s="642" t="s">
        <v>936</v>
      </c>
      <c r="AI22" s="643">
        <f>IF(AG63&lt;99,AG22+1," ")</f>
        <v>14</v>
      </c>
      <c r="AJ22" s="642" t="s">
        <v>936</v>
      </c>
      <c r="AK22" s="643">
        <f>IF(AI63&lt;99,AI22+1," ")</f>
        <v>15</v>
      </c>
      <c r="AL22" s="642" t="s">
        <v>936</v>
      </c>
      <c r="AM22" s="643">
        <f>IF(AK63&lt;99,AK22+1," ")</f>
        <v>16</v>
      </c>
      <c r="AN22" s="642" t="s">
        <v>936</v>
      </c>
      <c r="AO22" s="643">
        <f>IF(AM63&lt;99,AM22+1," ")</f>
        <v>17</v>
      </c>
      <c r="AP22" s="642" t="s">
        <v>936</v>
      </c>
      <c r="AQ22" s="644">
        <f>IF(AO63&lt;99,AO22+1," ")</f>
        <v>18</v>
      </c>
      <c r="AR22" s="642" t="s">
        <v>935</v>
      </c>
      <c r="AS22" s="643">
        <f>IF(AQ63&lt;99,AQ22+1," ")</f>
        <v>19</v>
      </c>
      <c r="AT22" s="642" t="s">
        <v>936</v>
      </c>
      <c r="AU22" s="643">
        <f>IF(AS63&lt;99,AS22+1," ")</f>
        <v>20</v>
      </c>
      <c r="AV22" s="642" t="s">
        <v>936</v>
      </c>
      <c r="AW22" s="643">
        <f>IF(AU63&lt;99,AU22+1," ")</f>
        <v>21</v>
      </c>
      <c r="AX22" s="642" t="s">
        <v>936</v>
      </c>
      <c r="AY22" s="643">
        <f>IF(AW63&lt;99,AW22+1," ")</f>
        <v>22</v>
      </c>
      <c r="AZ22" s="642" t="s">
        <v>936</v>
      </c>
      <c r="BA22" s="643">
        <f>IF(AY63&lt;99,AY22+1," ")</f>
        <v>23</v>
      </c>
      <c r="BB22" s="642" t="s">
        <v>936</v>
      </c>
      <c r="BC22" s="644">
        <f>IF(BA63&lt;99,BA22+1," ")</f>
        <v>24</v>
      </c>
    </row>
    <row r="23" spans="2:55" ht="12" customHeight="1">
      <c r="B23" s="638"/>
      <c r="C23" s="645" t="s">
        <v>937</v>
      </c>
      <c r="D23" s="646"/>
      <c r="E23" s="647" t="s">
        <v>938</v>
      </c>
      <c r="F23" s="648" t="s">
        <v>939</v>
      </c>
      <c r="G23" s="641" t="s">
        <v>939</v>
      </c>
      <c r="H23" s="649" t="s">
        <v>940</v>
      </c>
      <c r="I23" s="649" t="s">
        <v>941</v>
      </c>
      <c r="J23" s="649" t="s">
        <v>940</v>
      </c>
      <c r="K23" s="649" t="s">
        <v>941</v>
      </c>
      <c r="L23" s="649" t="s">
        <v>940</v>
      </c>
      <c r="M23" s="649" t="s">
        <v>941</v>
      </c>
      <c r="N23" s="649" t="s">
        <v>940</v>
      </c>
      <c r="O23" s="649" t="s">
        <v>941</v>
      </c>
      <c r="P23" s="649" t="s">
        <v>940</v>
      </c>
      <c r="Q23" s="649" t="s">
        <v>941</v>
      </c>
      <c r="R23" s="649" t="s">
        <v>940</v>
      </c>
      <c r="S23" s="650" t="s">
        <v>941</v>
      </c>
      <c r="T23" s="649" t="s">
        <v>940</v>
      </c>
      <c r="U23" s="649" t="s">
        <v>941</v>
      </c>
      <c r="V23" s="649" t="s">
        <v>940</v>
      </c>
      <c r="W23" s="649" t="s">
        <v>941</v>
      </c>
      <c r="X23" s="649" t="s">
        <v>940</v>
      </c>
      <c r="Y23" s="649" t="s">
        <v>941</v>
      </c>
      <c r="Z23" s="649" t="s">
        <v>940</v>
      </c>
      <c r="AA23" s="649" t="s">
        <v>941</v>
      </c>
      <c r="AB23" s="649" t="s">
        <v>940</v>
      </c>
      <c r="AC23" s="649" t="s">
        <v>941</v>
      </c>
      <c r="AD23" s="649" t="s">
        <v>940</v>
      </c>
      <c r="AE23" s="650" t="s">
        <v>941</v>
      </c>
      <c r="AF23" s="649" t="s">
        <v>940</v>
      </c>
      <c r="AG23" s="649" t="s">
        <v>941</v>
      </c>
      <c r="AH23" s="649" t="s">
        <v>940</v>
      </c>
      <c r="AI23" s="649" t="s">
        <v>941</v>
      </c>
      <c r="AJ23" s="649" t="s">
        <v>940</v>
      </c>
      <c r="AK23" s="649" t="s">
        <v>941</v>
      </c>
      <c r="AL23" s="649" t="s">
        <v>940</v>
      </c>
      <c r="AM23" s="649" t="s">
        <v>941</v>
      </c>
      <c r="AN23" s="649" t="s">
        <v>940</v>
      </c>
      <c r="AO23" s="649" t="s">
        <v>941</v>
      </c>
      <c r="AP23" s="649" t="s">
        <v>940</v>
      </c>
      <c r="AQ23" s="650" t="s">
        <v>941</v>
      </c>
      <c r="AR23" s="649" t="s">
        <v>940</v>
      </c>
      <c r="AS23" s="649" t="s">
        <v>941</v>
      </c>
      <c r="AT23" s="649" t="s">
        <v>940</v>
      </c>
      <c r="AU23" s="649" t="s">
        <v>941</v>
      </c>
      <c r="AV23" s="649" t="s">
        <v>940</v>
      </c>
      <c r="AW23" s="649" t="s">
        <v>941</v>
      </c>
      <c r="AX23" s="649" t="s">
        <v>940</v>
      </c>
      <c r="AY23" s="649" t="s">
        <v>941</v>
      </c>
      <c r="AZ23" s="649" t="s">
        <v>940</v>
      </c>
      <c r="BA23" s="649" t="s">
        <v>941</v>
      </c>
      <c r="BB23" s="649" t="s">
        <v>940</v>
      </c>
      <c r="BC23" s="650" t="s">
        <v>941</v>
      </c>
    </row>
    <row r="24" spans="2:55" ht="11.1" customHeight="1">
      <c r="B24" s="651">
        <v>1</v>
      </c>
      <c r="C24" s="652" t="s">
        <v>942</v>
      </c>
      <c r="D24" s="653"/>
      <c r="E24" s="654"/>
      <c r="F24" s="655"/>
      <c r="G24" s="656"/>
      <c r="H24" s="657">
        <v>100</v>
      </c>
      <c r="I24" s="658">
        <f>G24+H24</f>
        <v>100</v>
      </c>
      <c r="J24" s="657"/>
      <c r="K24" s="658">
        <f>I24+J24</f>
        <v>100</v>
      </c>
      <c r="L24" s="657"/>
      <c r="M24" s="658">
        <f>K24+L24</f>
        <v>100</v>
      </c>
      <c r="N24" s="657"/>
      <c r="O24" s="658">
        <f>M24+N24</f>
        <v>100</v>
      </c>
      <c r="P24" s="657"/>
      <c r="Q24" s="658">
        <f>O24+P24</f>
        <v>100</v>
      </c>
      <c r="R24" s="657"/>
      <c r="S24" s="659">
        <f>Q24+R24</f>
        <v>100</v>
      </c>
      <c r="T24" s="657"/>
      <c r="U24" s="658">
        <f>S24+T24</f>
        <v>100</v>
      </c>
      <c r="V24" s="657"/>
      <c r="W24" s="658">
        <f>U24+V24</f>
        <v>100</v>
      </c>
      <c r="X24" s="657"/>
      <c r="Y24" s="658">
        <f>W24+X24</f>
        <v>100</v>
      </c>
      <c r="Z24" s="657"/>
      <c r="AA24" s="658">
        <f>Y24+Z24</f>
        <v>100</v>
      </c>
      <c r="AB24" s="657"/>
      <c r="AC24" s="658">
        <f>AA24+AB24</f>
        <v>100</v>
      </c>
      <c r="AD24" s="657"/>
      <c r="AE24" s="659">
        <f>AC24+AD24</f>
        <v>100</v>
      </c>
      <c r="AF24" s="657"/>
      <c r="AG24" s="658">
        <f>AE24+AF24</f>
        <v>100</v>
      </c>
      <c r="AH24" s="657"/>
      <c r="AI24" s="658">
        <f>AG24+AH24</f>
        <v>100</v>
      </c>
      <c r="AJ24" s="657"/>
      <c r="AK24" s="658">
        <f>AI24+AJ24</f>
        <v>100</v>
      </c>
      <c r="AL24" s="657"/>
      <c r="AM24" s="658">
        <f>AK24+AL24</f>
        <v>100</v>
      </c>
      <c r="AN24" s="657"/>
      <c r="AO24" s="658">
        <f>AM24+AN24</f>
        <v>100</v>
      </c>
      <c r="AP24" s="657"/>
      <c r="AQ24" s="659">
        <f>AO24+AP24</f>
        <v>100</v>
      </c>
      <c r="AR24" s="657"/>
      <c r="AS24" s="658">
        <f>AQ24+AR24</f>
        <v>100</v>
      </c>
      <c r="AT24" s="657"/>
      <c r="AU24" s="658">
        <f>AS24+AT24</f>
        <v>100</v>
      </c>
      <c r="AV24" s="657"/>
      <c r="AW24" s="658">
        <f>AU24+AV24</f>
        <v>100</v>
      </c>
      <c r="AX24" s="657"/>
      <c r="AY24" s="658">
        <f>AW24+AX24</f>
        <v>100</v>
      </c>
      <c r="AZ24" s="657"/>
      <c r="BA24" s="658">
        <f>AY24+AZ24</f>
        <v>100</v>
      </c>
      <c r="BB24" s="657"/>
      <c r="BC24" s="659">
        <f>BA24+BB24</f>
        <v>100</v>
      </c>
    </row>
    <row r="25" spans="2:55" ht="11.1" customHeight="1">
      <c r="B25" s="651">
        <v>2</v>
      </c>
      <c r="C25" s="660" t="s">
        <v>943</v>
      </c>
      <c r="D25" s="590"/>
      <c r="E25" s="654"/>
      <c r="F25" s="655"/>
      <c r="G25" s="656"/>
      <c r="H25" s="657">
        <v>100</v>
      </c>
      <c r="I25" s="658">
        <f t="shared" ref="I25:S26" si="0">G25+H25</f>
        <v>100</v>
      </c>
      <c r="J25" s="657"/>
      <c r="K25" s="658">
        <f t="shared" si="0"/>
        <v>100</v>
      </c>
      <c r="L25" s="657"/>
      <c r="M25" s="658">
        <f t="shared" si="0"/>
        <v>100</v>
      </c>
      <c r="N25" s="657"/>
      <c r="O25" s="658">
        <f t="shared" si="0"/>
        <v>100</v>
      </c>
      <c r="P25" s="657"/>
      <c r="Q25" s="658">
        <f t="shared" si="0"/>
        <v>100</v>
      </c>
      <c r="R25" s="657"/>
      <c r="S25" s="659">
        <f t="shared" si="0"/>
        <v>100</v>
      </c>
      <c r="T25" s="657"/>
      <c r="U25" s="658">
        <f>S25+T25</f>
        <v>100</v>
      </c>
      <c r="V25" s="657"/>
      <c r="W25" s="658">
        <f>U25+V25</f>
        <v>100</v>
      </c>
      <c r="X25" s="657"/>
      <c r="Y25" s="658">
        <f>W25+X25</f>
        <v>100</v>
      </c>
      <c r="Z25" s="657"/>
      <c r="AA25" s="658">
        <f>Y25+Z25</f>
        <v>100</v>
      </c>
      <c r="AB25" s="657"/>
      <c r="AC25" s="658">
        <f>AA25+AB25</f>
        <v>100</v>
      </c>
      <c r="AD25" s="657"/>
      <c r="AE25" s="659">
        <f>AC25+AD25</f>
        <v>100</v>
      </c>
      <c r="AF25" s="657"/>
      <c r="AG25" s="658">
        <f>AE25+AF25</f>
        <v>100</v>
      </c>
      <c r="AH25" s="657"/>
      <c r="AI25" s="658">
        <f>AG25+AH25</f>
        <v>100</v>
      </c>
      <c r="AJ25" s="657"/>
      <c r="AK25" s="658">
        <f>AI25+AJ25</f>
        <v>100</v>
      </c>
      <c r="AL25" s="657"/>
      <c r="AM25" s="658">
        <f>AK25+AL25</f>
        <v>100</v>
      </c>
      <c r="AN25" s="657"/>
      <c r="AO25" s="658">
        <f>AM25+AN25</f>
        <v>100</v>
      </c>
      <c r="AP25" s="657"/>
      <c r="AQ25" s="659">
        <f>AO25+AP25</f>
        <v>100</v>
      </c>
      <c r="AR25" s="657"/>
      <c r="AS25" s="658">
        <f>AQ25+AR25</f>
        <v>100</v>
      </c>
      <c r="AT25" s="657"/>
      <c r="AU25" s="658">
        <f>AS25+AT25</f>
        <v>100</v>
      </c>
      <c r="AV25" s="657"/>
      <c r="AW25" s="658">
        <f>AU25+AV25</f>
        <v>100</v>
      </c>
      <c r="AX25" s="657"/>
      <c r="AY25" s="658">
        <f>AW25+AX25</f>
        <v>100</v>
      </c>
      <c r="AZ25" s="657"/>
      <c r="BA25" s="658">
        <f>AY25+AZ25</f>
        <v>100</v>
      </c>
      <c r="BB25" s="657"/>
      <c r="BC25" s="659">
        <f>BA25+BB25</f>
        <v>100</v>
      </c>
    </row>
    <row r="26" spans="2:55" ht="11.1" customHeight="1">
      <c r="B26" s="651">
        <v>3</v>
      </c>
      <c r="C26" s="660" t="s">
        <v>944</v>
      </c>
      <c r="D26" s="590"/>
      <c r="E26" s="654"/>
      <c r="F26" s="655"/>
      <c r="G26" s="656"/>
      <c r="H26" s="657">
        <v>100</v>
      </c>
      <c r="I26" s="658">
        <f t="shared" si="0"/>
        <v>100</v>
      </c>
      <c r="J26" s="657"/>
      <c r="K26" s="658">
        <f t="shared" si="0"/>
        <v>100</v>
      </c>
      <c r="L26" s="657"/>
      <c r="M26" s="658">
        <f t="shared" si="0"/>
        <v>100</v>
      </c>
      <c r="N26" s="657"/>
      <c r="O26" s="658">
        <f t="shared" si="0"/>
        <v>100</v>
      </c>
      <c r="P26" s="657"/>
      <c r="Q26" s="658">
        <f t="shared" si="0"/>
        <v>100</v>
      </c>
      <c r="R26" s="657"/>
      <c r="S26" s="659">
        <f t="shared" si="0"/>
        <v>100</v>
      </c>
      <c r="T26" s="657"/>
      <c r="U26" s="658">
        <f>S26+T26</f>
        <v>100</v>
      </c>
      <c r="V26" s="657"/>
      <c r="W26" s="658">
        <f>U26+V26</f>
        <v>100</v>
      </c>
      <c r="X26" s="657"/>
      <c r="Y26" s="658">
        <f>W26+X26</f>
        <v>100</v>
      </c>
      <c r="Z26" s="657"/>
      <c r="AA26" s="658">
        <f>Y26+Z26</f>
        <v>100</v>
      </c>
      <c r="AB26" s="657"/>
      <c r="AC26" s="658">
        <f>AA26+AB26</f>
        <v>100</v>
      </c>
      <c r="AD26" s="657"/>
      <c r="AE26" s="659">
        <f>AC26+AD26</f>
        <v>100</v>
      </c>
      <c r="AF26" s="657"/>
      <c r="AG26" s="658">
        <f>AE26+AF26</f>
        <v>100</v>
      </c>
      <c r="AH26" s="657"/>
      <c r="AI26" s="658">
        <f>AG26+AH26</f>
        <v>100</v>
      </c>
      <c r="AJ26" s="657"/>
      <c r="AK26" s="658">
        <f>AI26+AJ26</f>
        <v>100</v>
      </c>
      <c r="AL26" s="657"/>
      <c r="AM26" s="658">
        <f>AK26+AL26</f>
        <v>100</v>
      </c>
      <c r="AN26" s="657"/>
      <c r="AO26" s="658">
        <f>AM26+AN26</f>
        <v>100</v>
      </c>
      <c r="AP26" s="657"/>
      <c r="AQ26" s="659">
        <f>AO26+AP26</f>
        <v>100</v>
      </c>
      <c r="AR26" s="657"/>
      <c r="AS26" s="658">
        <f>AQ26+AR26</f>
        <v>100</v>
      </c>
      <c r="AT26" s="657"/>
      <c r="AU26" s="658">
        <f>AS26+AT26</f>
        <v>100</v>
      </c>
      <c r="AV26" s="657"/>
      <c r="AW26" s="658">
        <f>AU26+AV26</f>
        <v>100</v>
      </c>
      <c r="AX26" s="657"/>
      <c r="AY26" s="658">
        <f>AW26+AX26</f>
        <v>100</v>
      </c>
      <c r="AZ26" s="657"/>
      <c r="BA26" s="658">
        <f>AY26+AZ26</f>
        <v>100</v>
      </c>
      <c r="BB26" s="657"/>
      <c r="BC26" s="659">
        <f>BA26+BB26</f>
        <v>100</v>
      </c>
    </row>
    <row r="27" spans="2:55" ht="11.1" customHeight="1">
      <c r="B27" s="651">
        <v>4</v>
      </c>
      <c r="C27" s="660" t="s">
        <v>945</v>
      </c>
      <c r="D27" s="590"/>
      <c r="E27" s="661"/>
      <c r="F27" s="662"/>
      <c r="G27" s="663"/>
      <c r="H27" s="664"/>
      <c r="I27" s="664"/>
      <c r="J27" s="664"/>
      <c r="K27" s="664"/>
      <c r="L27" s="664"/>
      <c r="M27" s="664"/>
      <c r="N27" s="664"/>
      <c r="O27" s="664"/>
      <c r="P27" s="664"/>
      <c r="Q27" s="664"/>
      <c r="R27" s="664"/>
      <c r="S27" s="665"/>
      <c r="T27" s="664"/>
      <c r="U27" s="664"/>
      <c r="V27" s="664"/>
      <c r="W27" s="664"/>
      <c r="X27" s="664"/>
      <c r="Y27" s="664"/>
      <c r="Z27" s="664"/>
      <c r="AA27" s="664"/>
      <c r="AB27" s="664"/>
      <c r="AC27" s="664"/>
      <c r="AD27" s="664"/>
      <c r="AE27" s="665"/>
      <c r="AF27" s="664"/>
      <c r="AG27" s="664"/>
      <c r="AH27" s="664"/>
      <c r="AI27" s="664"/>
      <c r="AJ27" s="664"/>
      <c r="AK27" s="664"/>
      <c r="AL27" s="664"/>
      <c r="AM27" s="664"/>
      <c r="AN27" s="664"/>
      <c r="AO27" s="664"/>
      <c r="AP27" s="664"/>
      <c r="AQ27" s="665"/>
      <c r="AR27" s="664"/>
      <c r="AS27" s="664"/>
      <c r="AT27" s="664"/>
      <c r="AU27" s="664"/>
      <c r="AV27" s="664"/>
      <c r="AW27" s="664"/>
      <c r="AX27" s="664"/>
      <c r="AY27" s="664"/>
      <c r="AZ27" s="664"/>
      <c r="BA27" s="664"/>
      <c r="BB27" s="664"/>
      <c r="BC27" s="665"/>
    </row>
    <row r="28" spans="2:55" ht="11.1" customHeight="1">
      <c r="B28" s="651" t="s">
        <v>946</v>
      </c>
      <c r="C28" s="660" t="s">
        <v>947</v>
      </c>
      <c r="D28" s="590"/>
      <c r="E28" s="654"/>
      <c r="F28" s="655"/>
      <c r="G28" s="656"/>
      <c r="H28" s="657">
        <v>60</v>
      </c>
      <c r="I28" s="658">
        <f>G28+H28</f>
        <v>60</v>
      </c>
      <c r="J28" s="657">
        <v>40</v>
      </c>
      <c r="K28" s="658">
        <f>I28+J28</f>
        <v>100</v>
      </c>
      <c r="L28" s="657"/>
      <c r="M28" s="658">
        <f>K28+L28</f>
        <v>100</v>
      </c>
      <c r="N28" s="657"/>
      <c r="O28" s="658">
        <f>M28+N28</f>
        <v>100</v>
      </c>
      <c r="P28" s="657"/>
      <c r="Q28" s="658">
        <f>O28+P28</f>
        <v>100</v>
      </c>
      <c r="R28" s="657"/>
      <c r="S28" s="659">
        <f>Q28+R28</f>
        <v>100</v>
      </c>
      <c r="T28" s="657"/>
      <c r="U28" s="658">
        <f>S28+T28</f>
        <v>100</v>
      </c>
      <c r="V28" s="657"/>
      <c r="W28" s="658">
        <f>U28+V28</f>
        <v>100</v>
      </c>
      <c r="X28" s="657"/>
      <c r="Y28" s="658">
        <f>W28+X28</f>
        <v>100</v>
      </c>
      <c r="Z28" s="657"/>
      <c r="AA28" s="658">
        <f>Y28+Z28</f>
        <v>100</v>
      </c>
      <c r="AB28" s="657"/>
      <c r="AC28" s="658">
        <f>AA28+AB28</f>
        <v>100</v>
      </c>
      <c r="AD28" s="657"/>
      <c r="AE28" s="659">
        <f>AC28+AD28</f>
        <v>100</v>
      </c>
      <c r="AF28" s="657"/>
      <c r="AG28" s="658">
        <f>AE28+AF28</f>
        <v>100</v>
      </c>
      <c r="AH28" s="657"/>
      <c r="AI28" s="658">
        <f>AG28+AH28</f>
        <v>100</v>
      </c>
      <c r="AJ28" s="657"/>
      <c r="AK28" s="658">
        <f>AI28+AJ28</f>
        <v>100</v>
      </c>
      <c r="AL28" s="657"/>
      <c r="AM28" s="658">
        <f>AK28+AL28</f>
        <v>100</v>
      </c>
      <c r="AN28" s="657"/>
      <c r="AO28" s="658">
        <f>AM28+AN28</f>
        <v>100</v>
      </c>
      <c r="AP28" s="657"/>
      <c r="AQ28" s="659">
        <f>AO28+AP28</f>
        <v>100</v>
      </c>
      <c r="AR28" s="657"/>
      <c r="AS28" s="658">
        <f>AQ28+AR28</f>
        <v>100</v>
      </c>
      <c r="AT28" s="657"/>
      <c r="AU28" s="658">
        <f>AS28+AT28</f>
        <v>100</v>
      </c>
      <c r="AV28" s="657"/>
      <c r="AW28" s="658">
        <f>AU28+AV28</f>
        <v>100</v>
      </c>
      <c r="AX28" s="657"/>
      <c r="AY28" s="658">
        <f>AW28+AX28</f>
        <v>100</v>
      </c>
      <c r="AZ28" s="657"/>
      <c r="BA28" s="658">
        <f>AY28+AZ28</f>
        <v>100</v>
      </c>
      <c r="BB28" s="657"/>
      <c r="BC28" s="659">
        <f>BA28+BB28</f>
        <v>100</v>
      </c>
    </row>
    <row r="29" spans="2:55" ht="11.1" customHeight="1">
      <c r="B29" s="651" t="s">
        <v>948</v>
      </c>
      <c r="C29" s="660" t="s">
        <v>949</v>
      </c>
      <c r="D29" s="590"/>
      <c r="E29" s="654"/>
      <c r="F29" s="655"/>
      <c r="G29" s="656"/>
      <c r="H29" s="657"/>
      <c r="I29" s="658">
        <f>G29+H29</f>
        <v>0</v>
      </c>
      <c r="J29" s="657"/>
      <c r="K29" s="658">
        <f>I29+J29</f>
        <v>0</v>
      </c>
      <c r="L29" s="657"/>
      <c r="M29" s="658">
        <f>K29+L29</f>
        <v>0</v>
      </c>
      <c r="N29" s="657">
        <v>50</v>
      </c>
      <c r="O29" s="658">
        <f>M29+N29</f>
        <v>50</v>
      </c>
      <c r="P29" s="657"/>
      <c r="Q29" s="658">
        <f>O29+P29</f>
        <v>50</v>
      </c>
      <c r="R29" s="657">
        <v>50</v>
      </c>
      <c r="S29" s="659">
        <f>Q29+R29</f>
        <v>100</v>
      </c>
      <c r="T29" s="657"/>
      <c r="U29" s="658">
        <f>S29+T29</f>
        <v>100</v>
      </c>
      <c r="V29" s="657"/>
      <c r="W29" s="658">
        <f>U29+V29</f>
        <v>100</v>
      </c>
      <c r="X29" s="657"/>
      <c r="Y29" s="658">
        <f>W29+X29</f>
        <v>100</v>
      </c>
      <c r="Z29" s="657"/>
      <c r="AA29" s="658">
        <f>Y29+Z29</f>
        <v>100</v>
      </c>
      <c r="AB29" s="657"/>
      <c r="AC29" s="658">
        <f>AA29+AB29</f>
        <v>100</v>
      </c>
      <c r="AD29" s="657"/>
      <c r="AE29" s="659">
        <f>AC29+AD29</f>
        <v>100</v>
      </c>
      <c r="AF29" s="657"/>
      <c r="AG29" s="658">
        <f>AE29+AF29</f>
        <v>100</v>
      </c>
      <c r="AH29" s="657"/>
      <c r="AI29" s="658">
        <f>AG29+AH29</f>
        <v>100</v>
      </c>
      <c r="AJ29" s="657"/>
      <c r="AK29" s="658">
        <f>AI29+AJ29</f>
        <v>100</v>
      </c>
      <c r="AL29" s="657"/>
      <c r="AM29" s="658">
        <f>AK29+AL29</f>
        <v>100</v>
      </c>
      <c r="AN29" s="657"/>
      <c r="AO29" s="658">
        <f>AM29+AN29</f>
        <v>100</v>
      </c>
      <c r="AP29" s="657"/>
      <c r="AQ29" s="659">
        <f>AO29+AP29</f>
        <v>100</v>
      </c>
      <c r="AR29" s="657"/>
      <c r="AS29" s="658">
        <f>AQ29+AR29</f>
        <v>100</v>
      </c>
      <c r="AT29" s="657"/>
      <c r="AU29" s="658">
        <f>AS29+AT29</f>
        <v>100</v>
      </c>
      <c r="AV29" s="657"/>
      <c r="AW29" s="658">
        <f>AU29+AV29</f>
        <v>100</v>
      </c>
      <c r="AX29" s="657"/>
      <c r="AY29" s="658">
        <f>AW29+AX29</f>
        <v>100</v>
      </c>
      <c r="AZ29" s="657"/>
      <c r="BA29" s="658">
        <f>AY29+AZ29</f>
        <v>100</v>
      </c>
      <c r="BB29" s="657"/>
      <c r="BC29" s="659">
        <f>BA29+BB29</f>
        <v>100</v>
      </c>
    </row>
    <row r="30" spans="2:55" ht="11.1" customHeight="1">
      <c r="B30" s="651" t="s">
        <v>950</v>
      </c>
      <c r="C30" s="660" t="s">
        <v>951</v>
      </c>
      <c r="D30" s="590"/>
      <c r="E30" s="654"/>
      <c r="F30" s="655"/>
      <c r="G30" s="656"/>
      <c r="H30" s="657"/>
      <c r="I30" s="658">
        <f>G30+H30</f>
        <v>0</v>
      </c>
      <c r="J30" s="657"/>
      <c r="K30" s="658">
        <f>I30+J30</f>
        <v>0</v>
      </c>
      <c r="L30" s="657">
        <v>50</v>
      </c>
      <c r="M30" s="658">
        <f>K30+L30</f>
        <v>50</v>
      </c>
      <c r="N30" s="657"/>
      <c r="O30" s="658">
        <f>M30+N30</f>
        <v>50</v>
      </c>
      <c r="P30" s="657">
        <v>50</v>
      </c>
      <c r="Q30" s="658">
        <f>O30+P30</f>
        <v>100</v>
      </c>
      <c r="R30" s="657"/>
      <c r="S30" s="659">
        <f>Q30+R30</f>
        <v>100</v>
      </c>
      <c r="T30" s="657"/>
      <c r="U30" s="658">
        <f>S30+T30</f>
        <v>100</v>
      </c>
      <c r="V30" s="657"/>
      <c r="W30" s="658">
        <f>U30+V30</f>
        <v>100</v>
      </c>
      <c r="X30" s="657"/>
      <c r="Y30" s="658">
        <f>W30+X30</f>
        <v>100</v>
      </c>
      <c r="Z30" s="657"/>
      <c r="AA30" s="658">
        <f>Y30+Z30</f>
        <v>100</v>
      </c>
      <c r="AB30" s="657"/>
      <c r="AC30" s="658">
        <f>AA30+AB30</f>
        <v>100</v>
      </c>
      <c r="AD30" s="657"/>
      <c r="AE30" s="659">
        <f>AC30+AD30</f>
        <v>100</v>
      </c>
      <c r="AF30" s="657"/>
      <c r="AG30" s="658">
        <f>AE30+AF30</f>
        <v>100</v>
      </c>
      <c r="AH30" s="657"/>
      <c r="AI30" s="658">
        <f>AG30+AH30</f>
        <v>100</v>
      </c>
      <c r="AJ30" s="657"/>
      <c r="AK30" s="658">
        <f>AI30+AJ30</f>
        <v>100</v>
      </c>
      <c r="AL30" s="657"/>
      <c r="AM30" s="658">
        <f>AK30+AL30</f>
        <v>100</v>
      </c>
      <c r="AN30" s="657"/>
      <c r="AO30" s="658">
        <f>AM30+AN30</f>
        <v>100</v>
      </c>
      <c r="AP30" s="657"/>
      <c r="AQ30" s="659">
        <f>AO30+AP30</f>
        <v>100</v>
      </c>
      <c r="AR30" s="657"/>
      <c r="AS30" s="658">
        <f>AQ30+AR30</f>
        <v>100</v>
      </c>
      <c r="AT30" s="657"/>
      <c r="AU30" s="658">
        <f>AS30+AT30</f>
        <v>100</v>
      </c>
      <c r="AV30" s="657"/>
      <c r="AW30" s="658">
        <f>AU30+AV30</f>
        <v>100</v>
      </c>
      <c r="AX30" s="657"/>
      <c r="AY30" s="658">
        <f>AW30+AX30</f>
        <v>100</v>
      </c>
      <c r="AZ30" s="657"/>
      <c r="BA30" s="658">
        <f>AY30+AZ30</f>
        <v>100</v>
      </c>
      <c r="BB30" s="657"/>
      <c r="BC30" s="659">
        <f>BA30+BB30</f>
        <v>100</v>
      </c>
    </row>
    <row r="31" spans="2:55" ht="11.1" customHeight="1">
      <c r="B31" s="651" t="s">
        <v>952</v>
      </c>
      <c r="C31" s="660" t="s">
        <v>953</v>
      </c>
      <c r="D31" s="590"/>
      <c r="E31" s="654"/>
      <c r="F31" s="655"/>
      <c r="G31" s="656"/>
      <c r="H31" s="657"/>
      <c r="I31" s="658">
        <f>G31+H31</f>
        <v>0</v>
      </c>
      <c r="J31" s="657"/>
      <c r="K31" s="658">
        <f>I31+J31</f>
        <v>0</v>
      </c>
      <c r="L31" s="657"/>
      <c r="M31" s="658">
        <f>K31+L31</f>
        <v>0</v>
      </c>
      <c r="N31" s="657"/>
      <c r="O31" s="658">
        <f>M31+N31</f>
        <v>0</v>
      </c>
      <c r="P31" s="657"/>
      <c r="Q31" s="658">
        <f>O31+P31</f>
        <v>0</v>
      </c>
      <c r="R31" s="657">
        <v>100</v>
      </c>
      <c r="S31" s="659">
        <f>Q31+R31</f>
        <v>100</v>
      </c>
      <c r="T31" s="657"/>
      <c r="U31" s="658">
        <f>S31+T31</f>
        <v>100</v>
      </c>
      <c r="V31" s="657"/>
      <c r="W31" s="658">
        <f>U31+V31</f>
        <v>100</v>
      </c>
      <c r="X31" s="657"/>
      <c r="Y31" s="658">
        <f>W31+X31</f>
        <v>100</v>
      </c>
      <c r="Z31" s="657"/>
      <c r="AA31" s="658">
        <f>Y31+Z31</f>
        <v>100</v>
      </c>
      <c r="AB31" s="657"/>
      <c r="AC31" s="658">
        <f>AA31+AB31</f>
        <v>100</v>
      </c>
      <c r="AD31" s="657"/>
      <c r="AE31" s="659">
        <f>AC31+AD31</f>
        <v>100</v>
      </c>
      <c r="AF31" s="657"/>
      <c r="AG31" s="658">
        <f>AE31+AF31</f>
        <v>100</v>
      </c>
      <c r="AH31" s="657"/>
      <c r="AI31" s="658">
        <f>AG31+AH31</f>
        <v>100</v>
      </c>
      <c r="AJ31" s="657"/>
      <c r="AK31" s="658">
        <f>AI31+AJ31</f>
        <v>100</v>
      </c>
      <c r="AL31" s="657"/>
      <c r="AM31" s="658">
        <f>AK31+AL31</f>
        <v>100</v>
      </c>
      <c r="AN31" s="657"/>
      <c r="AO31" s="658">
        <f>AM31+AN31</f>
        <v>100</v>
      </c>
      <c r="AP31" s="657"/>
      <c r="AQ31" s="659">
        <f>AO31+AP31</f>
        <v>100</v>
      </c>
      <c r="AR31" s="657"/>
      <c r="AS31" s="658">
        <f>AQ31+AR31</f>
        <v>100</v>
      </c>
      <c r="AT31" s="657"/>
      <c r="AU31" s="658">
        <f>AS31+AT31</f>
        <v>100</v>
      </c>
      <c r="AV31" s="657"/>
      <c r="AW31" s="658">
        <f>AU31+AV31</f>
        <v>100</v>
      </c>
      <c r="AX31" s="657"/>
      <c r="AY31" s="658">
        <f>AW31+AX31</f>
        <v>100</v>
      </c>
      <c r="AZ31" s="657"/>
      <c r="BA31" s="658">
        <f>AY31+AZ31</f>
        <v>100</v>
      </c>
      <c r="BB31" s="657"/>
      <c r="BC31" s="659">
        <f>BA31+BB31</f>
        <v>100</v>
      </c>
    </row>
    <row r="32" spans="2:55" ht="11.1" customHeight="1">
      <c r="B32" s="651" t="s">
        <v>954</v>
      </c>
      <c r="C32" s="660" t="s">
        <v>955</v>
      </c>
      <c r="D32" s="590"/>
      <c r="E32" s="654"/>
      <c r="F32" s="655"/>
      <c r="G32" s="656"/>
      <c r="H32" s="657"/>
      <c r="I32" s="658">
        <f>G32+H32</f>
        <v>0</v>
      </c>
      <c r="J32" s="657"/>
      <c r="K32" s="658">
        <f>I32+J32</f>
        <v>0</v>
      </c>
      <c r="L32" s="657"/>
      <c r="M32" s="658">
        <f>K32+L32</f>
        <v>0</v>
      </c>
      <c r="N32" s="657"/>
      <c r="O32" s="658">
        <f>M32+N32</f>
        <v>0</v>
      </c>
      <c r="P32" s="657"/>
      <c r="Q32" s="658">
        <f>O32+P32</f>
        <v>0</v>
      </c>
      <c r="R32" s="657">
        <v>100</v>
      </c>
      <c r="S32" s="659">
        <f>Q32+R32</f>
        <v>100</v>
      </c>
      <c r="T32" s="657"/>
      <c r="U32" s="658">
        <f>S32+T32</f>
        <v>100</v>
      </c>
      <c r="V32" s="657"/>
      <c r="W32" s="658">
        <f>U32+V32</f>
        <v>100</v>
      </c>
      <c r="X32" s="657"/>
      <c r="Y32" s="658">
        <f>W32+X32</f>
        <v>100</v>
      </c>
      <c r="Z32" s="657"/>
      <c r="AA32" s="658">
        <f>Y32+Z32</f>
        <v>100</v>
      </c>
      <c r="AB32" s="657"/>
      <c r="AC32" s="658">
        <f>AA32+AB32</f>
        <v>100</v>
      </c>
      <c r="AD32" s="657"/>
      <c r="AE32" s="659">
        <f>AC32+AD32</f>
        <v>100</v>
      </c>
      <c r="AF32" s="657"/>
      <c r="AG32" s="658">
        <f>AE32+AF32</f>
        <v>100</v>
      </c>
      <c r="AH32" s="657"/>
      <c r="AI32" s="658">
        <f>AG32+AH32</f>
        <v>100</v>
      </c>
      <c r="AJ32" s="657"/>
      <c r="AK32" s="658">
        <f>AI32+AJ32</f>
        <v>100</v>
      </c>
      <c r="AL32" s="657"/>
      <c r="AM32" s="658">
        <f>AK32+AL32</f>
        <v>100</v>
      </c>
      <c r="AN32" s="657"/>
      <c r="AO32" s="658">
        <f>AM32+AN32</f>
        <v>100</v>
      </c>
      <c r="AP32" s="657"/>
      <c r="AQ32" s="659">
        <f>AO32+AP32</f>
        <v>100</v>
      </c>
      <c r="AR32" s="657"/>
      <c r="AS32" s="658">
        <f>AQ32+AR32</f>
        <v>100</v>
      </c>
      <c r="AT32" s="657"/>
      <c r="AU32" s="658">
        <f>AS32+AT32</f>
        <v>100</v>
      </c>
      <c r="AV32" s="657"/>
      <c r="AW32" s="658">
        <f>AU32+AV32</f>
        <v>100</v>
      </c>
      <c r="AX32" s="657"/>
      <c r="AY32" s="658">
        <f>AW32+AX32</f>
        <v>100</v>
      </c>
      <c r="AZ32" s="657"/>
      <c r="BA32" s="658">
        <f>AY32+AZ32</f>
        <v>100</v>
      </c>
      <c r="BB32" s="657"/>
      <c r="BC32" s="659">
        <f>BA32+BB32</f>
        <v>100</v>
      </c>
    </row>
    <row r="33" spans="2:55" ht="11.1" customHeight="1">
      <c r="B33" s="651">
        <v>5</v>
      </c>
      <c r="C33" s="660" t="s">
        <v>956</v>
      </c>
      <c r="D33" s="590"/>
      <c r="E33" s="661"/>
      <c r="F33" s="662"/>
      <c r="G33" s="663"/>
      <c r="H33" s="664"/>
      <c r="I33" s="664"/>
      <c r="J33" s="664"/>
      <c r="K33" s="664"/>
      <c r="L33" s="664"/>
      <c r="M33" s="664"/>
      <c r="N33" s="664"/>
      <c r="O33" s="664"/>
      <c r="P33" s="664"/>
      <c r="Q33" s="664"/>
      <c r="R33" s="664"/>
      <c r="S33" s="665"/>
      <c r="T33" s="664"/>
      <c r="U33" s="664"/>
      <c r="V33" s="664"/>
      <c r="W33" s="664"/>
      <c r="X33" s="664"/>
      <c r="Y33" s="664"/>
      <c r="Z33" s="664"/>
      <c r="AA33" s="664"/>
      <c r="AB33" s="664"/>
      <c r="AC33" s="664"/>
      <c r="AD33" s="664"/>
      <c r="AE33" s="665"/>
      <c r="AF33" s="664"/>
      <c r="AG33" s="664"/>
      <c r="AH33" s="664"/>
      <c r="AI33" s="664"/>
      <c r="AJ33" s="664"/>
      <c r="AK33" s="664"/>
      <c r="AL33" s="664"/>
      <c r="AM33" s="664"/>
      <c r="AN33" s="664"/>
      <c r="AO33" s="664"/>
      <c r="AP33" s="664"/>
      <c r="AQ33" s="665"/>
      <c r="AR33" s="664"/>
      <c r="AS33" s="664"/>
      <c r="AT33" s="664"/>
      <c r="AU33" s="664"/>
      <c r="AV33" s="664"/>
      <c r="AW33" s="664"/>
      <c r="AX33" s="664"/>
      <c r="AY33" s="664"/>
      <c r="AZ33" s="664"/>
      <c r="BA33" s="664"/>
      <c r="BB33" s="664"/>
      <c r="BC33" s="665"/>
    </row>
    <row r="34" spans="2:55" ht="11.1" customHeight="1">
      <c r="B34" s="651" t="s">
        <v>957</v>
      </c>
      <c r="C34" s="660" t="s">
        <v>958</v>
      </c>
      <c r="D34" s="590"/>
      <c r="E34" s="666"/>
      <c r="F34" s="655"/>
      <c r="G34" s="656"/>
      <c r="H34" s="657"/>
      <c r="I34" s="658">
        <f>H34+G34</f>
        <v>0</v>
      </c>
      <c r="J34" s="657">
        <v>50</v>
      </c>
      <c r="K34" s="658">
        <f>I34+J34</f>
        <v>50</v>
      </c>
      <c r="L34" s="657">
        <v>50</v>
      </c>
      <c r="M34" s="658">
        <f>K34+L34</f>
        <v>100</v>
      </c>
      <c r="N34" s="657"/>
      <c r="O34" s="658">
        <f>M34+N34</f>
        <v>100</v>
      </c>
      <c r="P34" s="657"/>
      <c r="Q34" s="658">
        <f>O34+P34</f>
        <v>100</v>
      </c>
      <c r="R34" s="657"/>
      <c r="S34" s="659">
        <f>Q34+R34</f>
        <v>100</v>
      </c>
      <c r="T34" s="657"/>
      <c r="U34" s="658">
        <f>T34+S34</f>
        <v>100</v>
      </c>
      <c r="V34" s="657"/>
      <c r="W34" s="658">
        <f>U34+V34</f>
        <v>100</v>
      </c>
      <c r="X34" s="657"/>
      <c r="Y34" s="658">
        <f>W34+X34</f>
        <v>100</v>
      </c>
      <c r="Z34" s="657"/>
      <c r="AA34" s="658">
        <f>Y34+Z34</f>
        <v>100</v>
      </c>
      <c r="AB34" s="657"/>
      <c r="AC34" s="658">
        <f>AA34+AB34</f>
        <v>100</v>
      </c>
      <c r="AD34" s="657"/>
      <c r="AE34" s="659">
        <f>AC34+AD34</f>
        <v>100</v>
      </c>
      <c r="AF34" s="657"/>
      <c r="AG34" s="658">
        <f>AF34+AE34</f>
        <v>100</v>
      </c>
      <c r="AH34" s="657"/>
      <c r="AI34" s="658">
        <f>AG34+AH34</f>
        <v>100</v>
      </c>
      <c r="AJ34" s="657"/>
      <c r="AK34" s="658">
        <f>AI34+AJ34</f>
        <v>100</v>
      </c>
      <c r="AL34" s="657"/>
      <c r="AM34" s="658">
        <f>AK34+AL34</f>
        <v>100</v>
      </c>
      <c r="AN34" s="657"/>
      <c r="AO34" s="658">
        <f>AM34+AN34</f>
        <v>100</v>
      </c>
      <c r="AP34" s="657"/>
      <c r="AQ34" s="659">
        <f>AO34+AP34</f>
        <v>100</v>
      </c>
      <c r="AR34" s="657"/>
      <c r="AS34" s="658">
        <f>AR34+AQ34</f>
        <v>100</v>
      </c>
      <c r="AT34" s="657"/>
      <c r="AU34" s="658">
        <f>AS34+AT34</f>
        <v>100</v>
      </c>
      <c r="AV34" s="657"/>
      <c r="AW34" s="658">
        <f>AU34+AV34</f>
        <v>100</v>
      </c>
      <c r="AX34" s="657"/>
      <c r="AY34" s="658">
        <f>AW34+AX34</f>
        <v>100</v>
      </c>
      <c r="AZ34" s="657"/>
      <c r="BA34" s="658">
        <f>AY34+AZ34</f>
        <v>100</v>
      </c>
      <c r="BB34" s="657"/>
      <c r="BC34" s="659">
        <f>BA34+BB34</f>
        <v>100</v>
      </c>
    </row>
    <row r="35" spans="2:55" ht="11.1" customHeight="1">
      <c r="B35" s="651" t="s">
        <v>959</v>
      </c>
      <c r="C35" s="660" t="s">
        <v>960</v>
      </c>
      <c r="D35" s="590"/>
      <c r="E35" s="666"/>
      <c r="F35" s="655"/>
      <c r="G35" s="656"/>
      <c r="H35" s="657"/>
      <c r="I35" s="658">
        <f>H35+G35</f>
        <v>0</v>
      </c>
      <c r="J35" s="657"/>
      <c r="K35" s="658">
        <f>I35+J35</f>
        <v>0</v>
      </c>
      <c r="L35" s="657"/>
      <c r="M35" s="658">
        <f>K35+L35</f>
        <v>0</v>
      </c>
      <c r="N35" s="657"/>
      <c r="O35" s="658">
        <f>M35+N35</f>
        <v>0</v>
      </c>
      <c r="P35" s="657"/>
      <c r="Q35" s="658">
        <f>O35+P35</f>
        <v>0</v>
      </c>
      <c r="R35" s="657"/>
      <c r="S35" s="659">
        <f>Q35+R35</f>
        <v>0</v>
      </c>
      <c r="T35" s="657"/>
      <c r="U35" s="658">
        <f>T35+S35</f>
        <v>0</v>
      </c>
      <c r="V35" s="657"/>
      <c r="W35" s="658">
        <f>U35+V35</f>
        <v>0</v>
      </c>
      <c r="X35" s="657"/>
      <c r="Y35" s="658">
        <f>W35+X35</f>
        <v>0</v>
      </c>
      <c r="Z35" s="657"/>
      <c r="AA35" s="658">
        <f>Y35+Z35</f>
        <v>0</v>
      </c>
      <c r="AB35" s="657"/>
      <c r="AC35" s="658">
        <f>AA35+AB35</f>
        <v>0</v>
      </c>
      <c r="AD35" s="657"/>
      <c r="AE35" s="659">
        <f>AC35+AD35</f>
        <v>0</v>
      </c>
      <c r="AF35" s="657"/>
      <c r="AG35" s="658">
        <f>AF35+AE35</f>
        <v>0</v>
      </c>
      <c r="AH35" s="657"/>
      <c r="AI35" s="658">
        <f>AG35+AH35</f>
        <v>0</v>
      </c>
      <c r="AJ35" s="657"/>
      <c r="AK35" s="658">
        <f>AI35+AJ35</f>
        <v>0</v>
      </c>
      <c r="AL35" s="657"/>
      <c r="AM35" s="658">
        <f>AK35+AL35</f>
        <v>0</v>
      </c>
      <c r="AN35" s="657"/>
      <c r="AO35" s="658">
        <f>AM35+AN35</f>
        <v>0</v>
      </c>
      <c r="AP35" s="657"/>
      <c r="AQ35" s="659">
        <f>AO35+AP35</f>
        <v>0</v>
      </c>
      <c r="AR35" s="657"/>
      <c r="AS35" s="658">
        <f>AR35+AQ35</f>
        <v>0</v>
      </c>
      <c r="AT35" s="657"/>
      <c r="AU35" s="658">
        <f>AS35+AT35</f>
        <v>0</v>
      </c>
      <c r="AV35" s="657"/>
      <c r="AW35" s="658">
        <f>AU35+AV35</f>
        <v>0</v>
      </c>
      <c r="AX35" s="657"/>
      <c r="AY35" s="658">
        <f>AW35+AX35</f>
        <v>0</v>
      </c>
      <c r="AZ35" s="657"/>
      <c r="BA35" s="658">
        <f>AY35+AZ35</f>
        <v>0</v>
      </c>
      <c r="BB35" s="657"/>
      <c r="BC35" s="659">
        <f>BA35+BB35</f>
        <v>0</v>
      </c>
    </row>
    <row r="36" spans="2:55" ht="11.1" customHeight="1">
      <c r="B36" s="651" t="s">
        <v>961</v>
      </c>
      <c r="C36" s="660" t="s">
        <v>962</v>
      </c>
      <c r="D36" s="590"/>
      <c r="E36" s="666"/>
      <c r="F36" s="655"/>
      <c r="G36" s="656"/>
      <c r="H36" s="657"/>
      <c r="I36" s="658">
        <f>H36+G36</f>
        <v>0</v>
      </c>
      <c r="J36" s="657"/>
      <c r="K36" s="658">
        <f>I36+J36</f>
        <v>0</v>
      </c>
      <c r="L36" s="657"/>
      <c r="M36" s="658">
        <f>K36+L36</f>
        <v>0</v>
      </c>
      <c r="N36" s="657"/>
      <c r="O36" s="658">
        <f>M36+N36</f>
        <v>0</v>
      </c>
      <c r="P36" s="657"/>
      <c r="Q36" s="658">
        <f>O36+P36</f>
        <v>0</v>
      </c>
      <c r="R36" s="657"/>
      <c r="S36" s="659">
        <f>Q36+R36</f>
        <v>0</v>
      </c>
      <c r="T36" s="657"/>
      <c r="U36" s="658">
        <f>T36+S36</f>
        <v>0</v>
      </c>
      <c r="V36" s="657"/>
      <c r="W36" s="658">
        <f>U36+V36</f>
        <v>0</v>
      </c>
      <c r="X36" s="657"/>
      <c r="Y36" s="658">
        <f>W36+X36</f>
        <v>0</v>
      </c>
      <c r="Z36" s="657"/>
      <c r="AA36" s="658">
        <f>Y36+Z36</f>
        <v>0</v>
      </c>
      <c r="AB36" s="657"/>
      <c r="AC36" s="658">
        <f>AA36+AB36</f>
        <v>0</v>
      </c>
      <c r="AD36" s="657"/>
      <c r="AE36" s="659">
        <f>AC36+AD36</f>
        <v>0</v>
      </c>
      <c r="AF36" s="657"/>
      <c r="AG36" s="658">
        <f>AF36+AE36</f>
        <v>0</v>
      </c>
      <c r="AH36" s="657"/>
      <c r="AI36" s="658">
        <f>AG36+AH36</f>
        <v>0</v>
      </c>
      <c r="AJ36" s="657"/>
      <c r="AK36" s="658">
        <f>AI36+AJ36</f>
        <v>0</v>
      </c>
      <c r="AL36" s="657"/>
      <c r="AM36" s="658">
        <f>AK36+AL36</f>
        <v>0</v>
      </c>
      <c r="AN36" s="657"/>
      <c r="AO36" s="658">
        <f>AM36+AN36</f>
        <v>0</v>
      </c>
      <c r="AP36" s="657"/>
      <c r="AQ36" s="659">
        <f>AO36+AP36</f>
        <v>0</v>
      </c>
      <c r="AR36" s="657"/>
      <c r="AS36" s="658">
        <f>AR36+AQ36</f>
        <v>0</v>
      </c>
      <c r="AT36" s="657"/>
      <c r="AU36" s="658">
        <f>AS36+AT36</f>
        <v>0</v>
      </c>
      <c r="AV36" s="657"/>
      <c r="AW36" s="658">
        <f>AU36+AV36</f>
        <v>0</v>
      </c>
      <c r="AX36" s="657"/>
      <c r="AY36" s="658">
        <f>AW36+AX36</f>
        <v>0</v>
      </c>
      <c r="AZ36" s="657"/>
      <c r="BA36" s="658">
        <f>AY36+AZ36</f>
        <v>0</v>
      </c>
      <c r="BB36" s="657"/>
      <c r="BC36" s="659">
        <f>BA36+BB36</f>
        <v>0</v>
      </c>
    </row>
    <row r="37" spans="2:55" ht="11.1" customHeight="1">
      <c r="B37" s="651">
        <v>6</v>
      </c>
      <c r="C37" s="660" t="s">
        <v>963</v>
      </c>
      <c r="D37" s="590"/>
      <c r="E37" s="661"/>
      <c r="F37" s="662"/>
      <c r="G37" s="663"/>
      <c r="H37" s="664"/>
      <c r="I37" s="664"/>
      <c r="J37" s="664"/>
      <c r="K37" s="664"/>
      <c r="L37" s="664"/>
      <c r="M37" s="664"/>
      <c r="N37" s="664"/>
      <c r="O37" s="664"/>
      <c r="P37" s="664"/>
      <c r="Q37" s="664"/>
      <c r="R37" s="664"/>
      <c r="S37" s="665"/>
      <c r="T37" s="664"/>
      <c r="U37" s="664"/>
      <c r="V37" s="664"/>
      <c r="W37" s="664"/>
      <c r="X37" s="664"/>
      <c r="Y37" s="664"/>
      <c r="Z37" s="664"/>
      <c r="AA37" s="664"/>
      <c r="AB37" s="664"/>
      <c r="AC37" s="664"/>
      <c r="AD37" s="664"/>
      <c r="AE37" s="665"/>
      <c r="AF37" s="664"/>
      <c r="AG37" s="664"/>
      <c r="AH37" s="664"/>
      <c r="AI37" s="664"/>
      <c r="AJ37" s="664"/>
      <c r="AK37" s="664"/>
      <c r="AL37" s="664"/>
      <c r="AM37" s="664"/>
      <c r="AN37" s="664"/>
      <c r="AO37" s="664"/>
      <c r="AP37" s="664"/>
      <c r="AQ37" s="665"/>
      <c r="AR37" s="664"/>
      <c r="AS37" s="664"/>
      <c r="AT37" s="664"/>
      <c r="AU37" s="664"/>
      <c r="AV37" s="664"/>
      <c r="AW37" s="664"/>
      <c r="AX37" s="664"/>
      <c r="AY37" s="664"/>
      <c r="AZ37" s="664"/>
      <c r="BA37" s="664"/>
      <c r="BB37" s="664"/>
      <c r="BC37" s="665"/>
    </row>
    <row r="38" spans="2:55" ht="11.1" customHeight="1">
      <c r="B38" s="651" t="s">
        <v>684</v>
      </c>
      <c r="C38" s="660" t="s">
        <v>964</v>
      </c>
      <c r="D38" s="590"/>
      <c r="E38" s="654"/>
      <c r="F38" s="655"/>
      <c r="G38" s="667"/>
      <c r="H38" s="657"/>
      <c r="I38" s="658">
        <f t="shared" ref="I38:I43" si="1">H38+G38</f>
        <v>0</v>
      </c>
      <c r="J38" s="657"/>
      <c r="K38" s="658">
        <f t="shared" ref="K38:K43" si="2">I38+J38</f>
        <v>0</v>
      </c>
      <c r="L38" s="657">
        <v>50</v>
      </c>
      <c r="M38" s="658">
        <f t="shared" ref="M38:M43" si="3">K38+L38</f>
        <v>50</v>
      </c>
      <c r="N38" s="657">
        <v>50</v>
      </c>
      <c r="O38" s="658">
        <f t="shared" ref="O38:O43" si="4">M38+N38</f>
        <v>100</v>
      </c>
      <c r="P38" s="657"/>
      <c r="Q38" s="658">
        <f t="shared" ref="Q38:Q43" si="5">O38+P38</f>
        <v>100</v>
      </c>
      <c r="R38" s="657"/>
      <c r="S38" s="659">
        <f t="shared" ref="S38:S43" si="6">Q38+R38</f>
        <v>100</v>
      </c>
      <c r="T38" s="657"/>
      <c r="U38" s="658">
        <f t="shared" ref="U38:U43" si="7">T38+S38</f>
        <v>100</v>
      </c>
      <c r="V38" s="657"/>
      <c r="W38" s="658">
        <f t="shared" ref="W38:W43" si="8">U38+V38</f>
        <v>100</v>
      </c>
      <c r="X38" s="657"/>
      <c r="Y38" s="658">
        <f t="shared" ref="Y38:Y43" si="9">W38+X38</f>
        <v>100</v>
      </c>
      <c r="Z38" s="657"/>
      <c r="AA38" s="658">
        <f t="shared" ref="AA38:AA43" si="10">Y38+Z38</f>
        <v>100</v>
      </c>
      <c r="AB38" s="657"/>
      <c r="AC38" s="658">
        <f t="shared" ref="AC38:AC43" si="11">AA38+AB38</f>
        <v>100</v>
      </c>
      <c r="AD38" s="657"/>
      <c r="AE38" s="659">
        <f t="shared" ref="AE38:AE43" si="12">AC38+AD38</f>
        <v>100</v>
      </c>
      <c r="AF38" s="657"/>
      <c r="AG38" s="658">
        <f t="shared" ref="AG38:AG43" si="13">AF38+AE38</f>
        <v>100</v>
      </c>
      <c r="AH38" s="657"/>
      <c r="AI38" s="658">
        <f t="shared" ref="AI38:AI43" si="14">AG38+AH38</f>
        <v>100</v>
      </c>
      <c r="AJ38" s="657"/>
      <c r="AK38" s="658">
        <f t="shared" ref="AK38:AK43" si="15">AI38+AJ38</f>
        <v>100</v>
      </c>
      <c r="AL38" s="657"/>
      <c r="AM38" s="658">
        <f t="shared" ref="AM38:AM43" si="16">AK38+AL38</f>
        <v>100</v>
      </c>
      <c r="AN38" s="657"/>
      <c r="AO38" s="658">
        <f t="shared" ref="AO38:AO43" si="17">AM38+AN38</f>
        <v>100</v>
      </c>
      <c r="AP38" s="657"/>
      <c r="AQ38" s="659">
        <f t="shared" ref="AQ38:AQ43" si="18">AO38+AP38</f>
        <v>100</v>
      </c>
      <c r="AR38" s="657"/>
      <c r="AS38" s="658">
        <f t="shared" ref="AS38:AS43" si="19">AR38+AQ38</f>
        <v>100</v>
      </c>
      <c r="AT38" s="657"/>
      <c r="AU38" s="658">
        <f t="shared" ref="AU38:AU43" si="20">AS38+AT38</f>
        <v>100</v>
      </c>
      <c r="AV38" s="657"/>
      <c r="AW38" s="658">
        <f t="shared" ref="AW38:AW43" si="21">AU38+AV38</f>
        <v>100</v>
      </c>
      <c r="AX38" s="657"/>
      <c r="AY38" s="658">
        <f t="shared" ref="AY38:AY43" si="22">AW38+AX38</f>
        <v>100</v>
      </c>
      <c r="AZ38" s="657"/>
      <c r="BA38" s="658">
        <f t="shared" ref="BA38:BA43" si="23">AY38+AZ38</f>
        <v>100</v>
      </c>
      <c r="BB38" s="657"/>
      <c r="BC38" s="659">
        <f t="shared" ref="BC38:BC43" si="24">BA38+BB38</f>
        <v>100</v>
      </c>
    </row>
    <row r="39" spans="2:55" ht="11.1" customHeight="1">
      <c r="B39" s="651" t="s">
        <v>696</v>
      </c>
      <c r="C39" s="660" t="s">
        <v>965</v>
      </c>
      <c r="D39" s="590"/>
      <c r="E39" s="654"/>
      <c r="F39" s="655"/>
      <c r="G39" s="667"/>
      <c r="H39" s="657"/>
      <c r="I39" s="658">
        <f t="shared" si="1"/>
        <v>0</v>
      </c>
      <c r="J39" s="657"/>
      <c r="K39" s="658">
        <f t="shared" si="2"/>
        <v>0</v>
      </c>
      <c r="L39" s="657">
        <v>30</v>
      </c>
      <c r="M39" s="658">
        <f t="shared" si="3"/>
        <v>30</v>
      </c>
      <c r="N39" s="657">
        <v>70</v>
      </c>
      <c r="O39" s="658">
        <f t="shared" si="4"/>
        <v>100</v>
      </c>
      <c r="P39" s="657"/>
      <c r="Q39" s="658">
        <f t="shared" si="5"/>
        <v>100</v>
      </c>
      <c r="R39" s="657"/>
      <c r="S39" s="659">
        <f t="shared" si="6"/>
        <v>100</v>
      </c>
      <c r="T39" s="657"/>
      <c r="U39" s="658">
        <f t="shared" si="7"/>
        <v>100</v>
      </c>
      <c r="V39" s="657"/>
      <c r="W39" s="658">
        <f t="shared" si="8"/>
        <v>100</v>
      </c>
      <c r="X39" s="657"/>
      <c r="Y39" s="658">
        <f t="shared" si="9"/>
        <v>100</v>
      </c>
      <c r="Z39" s="657"/>
      <c r="AA39" s="658">
        <f t="shared" si="10"/>
        <v>100</v>
      </c>
      <c r="AB39" s="657"/>
      <c r="AC39" s="658">
        <f t="shared" si="11"/>
        <v>100</v>
      </c>
      <c r="AD39" s="657"/>
      <c r="AE39" s="659">
        <f t="shared" si="12"/>
        <v>100</v>
      </c>
      <c r="AF39" s="657"/>
      <c r="AG39" s="658">
        <f t="shared" si="13"/>
        <v>100</v>
      </c>
      <c r="AH39" s="657"/>
      <c r="AI39" s="658">
        <f t="shared" si="14"/>
        <v>100</v>
      </c>
      <c r="AJ39" s="657"/>
      <c r="AK39" s="658">
        <f t="shared" si="15"/>
        <v>100</v>
      </c>
      <c r="AL39" s="657"/>
      <c r="AM39" s="658">
        <f t="shared" si="16"/>
        <v>100</v>
      </c>
      <c r="AN39" s="657"/>
      <c r="AO39" s="658">
        <f t="shared" si="17"/>
        <v>100</v>
      </c>
      <c r="AP39" s="657"/>
      <c r="AQ39" s="659">
        <f t="shared" si="18"/>
        <v>100</v>
      </c>
      <c r="AR39" s="657"/>
      <c r="AS39" s="658">
        <f t="shared" si="19"/>
        <v>100</v>
      </c>
      <c r="AT39" s="657"/>
      <c r="AU39" s="658">
        <f t="shared" si="20"/>
        <v>100</v>
      </c>
      <c r="AV39" s="657"/>
      <c r="AW39" s="658">
        <f t="shared" si="21"/>
        <v>100</v>
      </c>
      <c r="AX39" s="657"/>
      <c r="AY39" s="658">
        <f t="shared" si="22"/>
        <v>100</v>
      </c>
      <c r="AZ39" s="657"/>
      <c r="BA39" s="658">
        <f t="shared" si="23"/>
        <v>100</v>
      </c>
      <c r="BB39" s="657"/>
      <c r="BC39" s="659">
        <f t="shared" si="24"/>
        <v>100</v>
      </c>
    </row>
    <row r="40" spans="2:55" ht="11.1" customHeight="1">
      <c r="B40" s="651" t="s">
        <v>703</v>
      </c>
      <c r="C40" s="660" t="s">
        <v>966</v>
      </c>
      <c r="D40" s="590"/>
      <c r="E40" s="654"/>
      <c r="F40" s="655"/>
      <c r="G40" s="667"/>
      <c r="H40" s="657"/>
      <c r="I40" s="658">
        <f t="shared" si="1"/>
        <v>0</v>
      </c>
      <c r="J40" s="657">
        <v>30</v>
      </c>
      <c r="K40" s="658">
        <f t="shared" si="2"/>
        <v>30</v>
      </c>
      <c r="L40" s="657">
        <v>30</v>
      </c>
      <c r="M40" s="658">
        <f t="shared" si="3"/>
        <v>60</v>
      </c>
      <c r="N40" s="657">
        <v>40</v>
      </c>
      <c r="O40" s="658">
        <f t="shared" si="4"/>
        <v>100</v>
      </c>
      <c r="P40" s="657"/>
      <c r="Q40" s="658">
        <f t="shared" si="5"/>
        <v>100</v>
      </c>
      <c r="R40" s="657"/>
      <c r="S40" s="659">
        <f t="shared" si="6"/>
        <v>100</v>
      </c>
      <c r="T40" s="657"/>
      <c r="U40" s="658">
        <f t="shared" si="7"/>
        <v>100</v>
      </c>
      <c r="V40" s="657"/>
      <c r="W40" s="658">
        <f t="shared" si="8"/>
        <v>100</v>
      </c>
      <c r="X40" s="657"/>
      <c r="Y40" s="658">
        <f t="shared" si="9"/>
        <v>100</v>
      </c>
      <c r="Z40" s="657"/>
      <c r="AA40" s="658">
        <f t="shared" si="10"/>
        <v>100</v>
      </c>
      <c r="AB40" s="657"/>
      <c r="AC40" s="658">
        <f t="shared" si="11"/>
        <v>100</v>
      </c>
      <c r="AD40" s="657"/>
      <c r="AE40" s="659">
        <f t="shared" si="12"/>
        <v>100</v>
      </c>
      <c r="AF40" s="657"/>
      <c r="AG40" s="658">
        <f t="shared" si="13"/>
        <v>100</v>
      </c>
      <c r="AH40" s="657"/>
      <c r="AI40" s="658">
        <f t="shared" si="14"/>
        <v>100</v>
      </c>
      <c r="AJ40" s="657"/>
      <c r="AK40" s="658">
        <f t="shared" si="15"/>
        <v>100</v>
      </c>
      <c r="AL40" s="657"/>
      <c r="AM40" s="658">
        <f t="shared" si="16"/>
        <v>100</v>
      </c>
      <c r="AN40" s="657"/>
      <c r="AO40" s="658">
        <f t="shared" si="17"/>
        <v>100</v>
      </c>
      <c r="AP40" s="657"/>
      <c r="AQ40" s="659">
        <f t="shared" si="18"/>
        <v>100</v>
      </c>
      <c r="AR40" s="657"/>
      <c r="AS40" s="658">
        <f t="shared" si="19"/>
        <v>100</v>
      </c>
      <c r="AT40" s="657"/>
      <c r="AU40" s="658">
        <f t="shared" si="20"/>
        <v>100</v>
      </c>
      <c r="AV40" s="657"/>
      <c r="AW40" s="658">
        <f t="shared" si="21"/>
        <v>100</v>
      </c>
      <c r="AX40" s="657"/>
      <c r="AY40" s="658">
        <f t="shared" si="22"/>
        <v>100</v>
      </c>
      <c r="AZ40" s="657"/>
      <c r="BA40" s="658">
        <f t="shared" si="23"/>
        <v>100</v>
      </c>
      <c r="BB40" s="657"/>
      <c r="BC40" s="659">
        <f t="shared" si="24"/>
        <v>100</v>
      </c>
    </row>
    <row r="41" spans="2:55" ht="11.1" customHeight="1">
      <c r="B41" s="651" t="s">
        <v>715</v>
      </c>
      <c r="C41" s="660" t="s">
        <v>967</v>
      </c>
      <c r="D41" s="590"/>
      <c r="E41" s="654"/>
      <c r="F41" s="655"/>
      <c r="G41" s="667"/>
      <c r="H41" s="657"/>
      <c r="I41" s="658">
        <f t="shared" si="1"/>
        <v>0</v>
      </c>
      <c r="J41" s="657">
        <v>100</v>
      </c>
      <c r="K41" s="658">
        <f t="shared" si="2"/>
        <v>100</v>
      </c>
      <c r="L41" s="657"/>
      <c r="M41" s="658">
        <f t="shared" si="3"/>
        <v>100</v>
      </c>
      <c r="N41" s="657"/>
      <c r="O41" s="658">
        <f t="shared" si="4"/>
        <v>100</v>
      </c>
      <c r="P41" s="657"/>
      <c r="Q41" s="658">
        <f t="shared" si="5"/>
        <v>100</v>
      </c>
      <c r="R41" s="657"/>
      <c r="S41" s="659">
        <f t="shared" si="6"/>
        <v>100</v>
      </c>
      <c r="T41" s="657"/>
      <c r="U41" s="658">
        <f t="shared" si="7"/>
        <v>100</v>
      </c>
      <c r="V41" s="657"/>
      <c r="W41" s="658">
        <f t="shared" si="8"/>
        <v>100</v>
      </c>
      <c r="X41" s="657"/>
      <c r="Y41" s="658">
        <f t="shared" si="9"/>
        <v>100</v>
      </c>
      <c r="Z41" s="657"/>
      <c r="AA41" s="658">
        <f t="shared" si="10"/>
        <v>100</v>
      </c>
      <c r="AB41" s="657"/>
      <c r="AC41" s="658">
        <f t="shared" si="11"/>
        <v>100</v>
      </c>
      <c r="AD41" s="657"/>
      <c r="AE41" s="659">
        <f t="shared" si="12"/>
        <v>100</v>
      </c>
      <c r="AF41" s="657"/>
      <c r="AG41" s="658">
        <f t="shared" si="13"/>
        <v>100</v>
      </c>
      <c r="AH41" s="657"/>
      <c r="AI41" s="658">
        <f t="shared" si="14"/>
        <v>100</v>
      </c>
      <c r="AJ41" s="657"/>
      <c r="AK41" s="658">
        <f t="shared" si="15"/>
        <v>100</v>
      </c>
      <c r="AL41" s="657"/>
      <c r="AM41" s="658">
        <f t="shared" si="16"/>
        <v>100</v>
      </c>
      <c r="AN41" s="657"/>
      <c r="AO41" s="658">
        <f t="shared" si="17"/>
        <v>100</v>
      </c>
      <c r="AP41" s="657"/>
      <c r="AQ41" s="659">
        <f t="shared" si="18"/>
        <v>100</v>
      </c>
      <c r="AR41" s="657"/>
      <c r="AS41" s="658">
        <f t="shared" si="19"/>
        <v>100</v>
      </c>
      <c r="AT41" s="657"/>
      <c r="AU41" s="658">
        <f t="shared" si="20"/>
        <v>100</v>
      </c>
      <c r="AV41" s="657"/>
      <c r="AW41" s="658">
        <f t="shared" si="21"/>
        <v>100</v>
      </c>
      <c r="AX41" s="657"/>
      <c r="AY41" s="658">
        <f t="shared" si="22"/>
        <v>100</v>
      </c>
      <c r="AZ41" s="657"/>
      <c r="BA41" s="658">
        <f t="shared" si="23"/>
        <v>100</v>
      </c>
      <c r="BB41" s="657"/>
      <c r="BC41" s="659">
        <f t="shared" si="24"/>
        <v>100</v>
      </c>
    </row>
    <row r="42" spans="2:55" ht="11.1" customHeight="1">
      <c r="B42" s="651" t="s">
        <v>731</v>
      </c>
      <c r="C42" s="660" t="s">
        <v>968</v>
      </c>
      <c r="D42" s="590"/>
      <c r="E42" s="654"/>
      <c r="F42" s="655"/>
      <c r="G42" s="667"/>
      <c r="H42" s="657"/>
      <c r="I42" s="658">
        <f t="shared" si="1"/>
        <v>0</v>
      </c>
      <c r="J42" s="657"/>
      <c r="K42" s="658">
        <f t="shared" si="2"/>
        <v>0</v>
      </c>
      <c r="L42" s="657"/>
      <c r="M42" s="658">
        <f t="shared" si="3"/>
        <v>0</v>
      </c>
      <c r="N42" s="657"/>
      <c r="O42" s="658">
        <f t="shared" si="4"/>
        <v>0</v>
      </c>
      <c r="P42" s="657">
        <v>100</v>
      </c>
      <c r="Q42" s="658">
        <f t="shared" si="5"/>
        <v>100</v>
      </c>
      <c r="R42" s="657"/>
      <c r="S42" s="659">
        <f t="shared" si="6"/>
        <v>100</v>
      </c>
      <c r="T42" s="657"/>
      <c r="U42" s="658">
        <f t="shared" si="7"/>
        <v>100</v>
      </c>
      <c r="V42" s="657"/>
      <c r="W42" s="658">
        <f t="shared" si="8"/>
        <v>100</v>
      </c>
      <c r="X42" s="657"/>
      <c r="Y42" s="658">
        <f t="shared" si="9"/>
        <v>100</v>
      </c>
      <c r="Z42" s="657"/>
      <c r="AA42" s="658">
        <f t="shared" si="10"/>
        <v>100</v>
      </c>
      <c r="AB42" s="657"/>
      <c r="AC42" s="658">
        <f t="shared" si="11"/>
        <v>100</v>
      </c>
      <c r="AD42" s="657"/>
      <c r="AE42" s="659">
        <f t="shared" si="12"/>
        <v>100</v>
      </c>
      <c r="AF42" s="657"/>
      <c r="AG42" s="658">
        <f t="shared" si="13"/>
        <v>100</v>
      </c>
      <c r="AH42" s="657"/>
      <c r="AI42" s="658">
        <f t="shared" si="14"/>
        <v>100</v>
      </c>
      <c r="AJ42" s="657"/>
      <c r="AK42" s="658">
        <f t="shared" si="15"/>
        <v>100</v>
      </c>
      <c r="AL42" s="657"/>
      <c r="AM42" s="658">
        <f t="shared" si="16"/>
        <v>100</v>
      </c>
      <c r="AN42" s="657"/>
      <c r="AO42" s="658">
        <f t="shared" si="17"/>
        <v>100</v>
      </c>
      <c r="AP42" s="657"/>
      <c r="AQ42" s="659">
        <f t="shared" si="18"/>
        <v>100</v>
      </c>
      <c r="AR42" s="657"/>
      <c r="AS42" s="658">
        <f t="shared" si="19"/>
        <v>100</v>
      </c>
      <c r="AT42" s="657"/>
      <c r="AU42" s="658">
        <f t="shared" si="20"/>
        <v>100</v>
      </c>
      <c r="AV42" s="657"/>
      <c r="AW42" s="658">
        <f t="shared" si="21"/>
        <v>100</v>
      </c>
      <c r="AX42" s="657"/>
      <c r="AY42" s="658">
        <f t="shared" si="22"/>
        <v>100</v>
      </c>
      <c r="AZ42" s="657"/>
      <c r="BA42" s="658">
        <f t="shared" si="23"/>
        <v>100</v>
      </c>
      <c r="BB42" s="657"/>
      <c r="BC42" s="659">
        <f t="shared" si="24"/>
        <v>100</v>
      </c>
    </row>
    <row r="43" spans="2:55" ht="11.1" customHeight="1">
      <c r="B43" s="651" t="s">
        <v>744</v>
      </c>
      <c r="C43" s="660" t="s">
        <v>969</v>
      </c>
      <c r="D43" s="590"/>
      <c r="E43" s="654"/>
      <c r="F43" s="655"/>
      <c r="G43" s="667"/>
      <c r="H43" s="657"/>
      <c r="I43" s="658">
        <f t="shared" si="1"/>
        <v>0</v>
      </c>
      <c r="J43" s="657"/>
      <c r="K43" s="658">
        <f t="shared" si="2"/>
        <v>0</v>
      </c>
      <c r="L43" s="657"/>
      <c r="M43" s="658">
        <f t="shared" si="3"/>
        <v>0</v>
      </c>
      <c r="N43" s="657"/>
      <c r="O43" s="658">
        <f t="shared" si="4"/>
        <v>0</v>
      </c>
      <c r="P43" s="657"/>
      <c r="Q43" s="658">
        <f t="shared" si="5"/>
        <v>0</v>
      </c>
      <c r="R43" s="657"/>
      <c r="S43" s="659">
        <f t="shared" si="6"/>
        <v>0</v>
      </c>
      <c r="T43" s="657"/>
      <c r="U43" s="658">
        <f t="shared" si="7"/>
        <v>0</v>
      </c>
      <c r="V43" s="657"/>
      <c r="W43" s="658">
        <f t="shared" si="8"/>
        <v>0</v>
      </c>
      <c r="X43" s="657"/>
      <c r="Y43" s="658">
        <f t="shared" si="9"/>
        <v>0</v>
      </c>
      <c r="Z43" s="657"/>
      <c r="AA43" s="658">
        <f t="shared" si="10"/>
        <v>0</v>
      </c>
      <c r="AB43" s="657"/>
      <c r="AC43" s="658">
        <f t="shared" si="11"/>
        <v>0</v>
      </c>
      <c r="AD43" s="657"/>
      <c r="AE43" s="659">
        <f t="shared" si="12"/>
        <v>0</v>
      </c>
      <c r="AF43" s="657"/>
      <c r="AG43" s="658">
        <f t="shared" si="13"/>
        <v>0</v>
      </c>
      <c r="AH43" s="657"/>
      <c r="AI43" s="658">
        <f t="shared" si="14"/>
        <v>0</v>
      </c>
      <c r="AJ43" s="657"/>
      <c r="AK43" s="658">
        <f t="shared" si="15"/>
        <v>0</v>
      </c>
      <c r="AL43" s="657"/>
      <c r="AM43" s="658">
        <f t="shared" si="16"/>
        <v>0</v>
      </c>
      <c r="AN43" s="657"/>
      <c r="AO43" s="658">
        <f t="shared" si="17"/>
        <v>0</v>
      </c>
      <c r="AP43" s="657"/>
      <c r="AQ43" s="659">
        <f t="shared" si="18"/>
        <v>0</v>
      </c>
      <c r="AR43" s="657"/>
      <c r="AS43" s="658">
        <f t="shared" si="19"/>
        <v>0</v>
      </c>
      <c r="AT43" s="657"/>
      <c r="AU43" s="658">
        <f t="shared" si="20"/>
        <v>0</v>
      </c>
      <c r="AV43" s="657"/>
      <c r="AW43" s="658">
        <f t="shared" si="21"/>
        <v>0</v>
      </c>
      <c r="AX43" s="657"/>
      <c r="AY43" s="658">
        <f t="shared" si="22"/>
        <v>0</v>
      </c>
      <c r="AZ43" s="657"/>
      <c r="BA43" s="658">
        <f t="shared" si="23"/>
        <v>0</v>
      </c>
      <c r="BB43" s="657"/>
      <c r="BC43" s="659">
        <f t="shared" si="24"/>
        <v>0</v>
      </c>
    </row>
    <row r="44" spans="2:55" ht="11.1" customHeight="1">
      <c r="B44" s="651">
        <v>7</v>
      </c>
      <c r="C44" s="660" t="s">
        <v>970</v>
      </c>
      <c r="D44" s="590"/>
      <c r="E44" s="661"/>
      <c r="F44" s="662"/>
      <c r="G44" s="663"/>
      <c r="H44" s="664"/>
      <c r="I44" s="664"/>
      <c r="J44" s="664"/>
      <c r="K44" s="664"/>
      <c r="L44" s="664"/>
      <c r="M44" s="664"/>
      <c r="N44" s="664"/>
      <c r="O44" s="664"/>
      <c r="P44" s="664"/>
      <c r="Q44" s="664"/>
      <c r="R44" s="664"/>
      <c r="S44" s="665"/>
      <c r="T44" s="664"/>
      <c r="U44" s="664"/>
      <c r="V44" s="664"/>
      <c r="W44" s="664"/>
      <c r="X44" s="664"/>
      <c r="Y44" s="664"/>
      <c r="Z44" s="664"/>
      <c r="AA44" s="664"/>
      <c r="AB44" s="664"/>
      <c r="AC44" s="664"/>
      <c r="AD44" s="664"/>
      <c r="AE44" s="665"/>
      <c r="AF44" s="664"/>
      <c r="AG44" s="664"/>
      <c r="AH44" s="664"/>
      <c r="AI44" s="664"/>
      <c r="AJ44" s="664"/>
      <c r="AK44" s="664"/>
      <c r="AL44" s="664"/>
      <c r="AM44" s="664"/>
      <c r="AN44" s="664"/>
      <c r="AO44" s="664"/>
      <c r="AP44" s="664"/>
      <c r="AQ44" s="665"/>
      <c r="AR44" s="664"/>
      <c r="AS44" s="664"/>
      <c r="AT44" s="664"/>
      <c r="AU44" s="664"/>
      <c r="AV44" s="664"/>
      <c r="AW44" s="664"/>
      <c r="AX44" s="664"/>
      <c r="AY44" s="664"/>
      <c r="AZ44" s="664"/>
      <c r="BA44" s="664"/>
      <c r="BB44" s="664"/>
      <c r="BC44" s="665"/>
    </row>
    <row r="45" spans="2:55" ht="11.1" customHeight="1">
      <c r="B45" s="651" t="s">
        <v>971</v>
      </c>
      <c r="C45" s="660" t="s">
        <v>972</v>
      </c>
      <c r="D45" s="590"/>
      <c r="E45" s="654"/>
      <c r="F45" s="655"/>
      <c r="G45" s="656"/>
      <c r="H45" s="657"/>
      <c r="I45" s="658">
        <f t="shared" ref="I45:I51" si="25">H45+G45</f>
        <v>0</v>
      </c>
      <c r="J45" s="657"/>
      <c r="K45" s="658">
        <f t="shared" ref="K45:K51" si="26">I45+J45</f>
        <v>0</v>
      </c>
      <c r="L45" s="657"/>
      <c r="M45" s="658">
        <f t="shared" ref="M45:M51" si="27">K45+L45</f>
        <v>0</v>
      </c>
      <c r="N45" s="657"/>
      <c r="O45" s="658">
        <f t="shared" ref="O45:O51" si="28">M45+N45</f>
        <v>0</v>
      </c>
      <c r="P45" s="657"/>
      <c r="Q45" s="658">
        <f t="shared" ref="Q45:Q51" si="29">O45+P45</f>
        <v>0</v>
      </c>
      <c r="R45" s="657"/>
      <c r="S45" s="659">
        <f t="shared" ref="S45:S51" si="30">Q45+R45</f>
        <v>0</v>
      </c>
      <c r="T45" s="657"/>
      <c r="U45" s="658">
        <f t="shared" ref="U45:U51" si="31">T45+S45</f>
        <v>0</v>
      </c>
      <c r="V45" s="657"/>
      <c r="W45" s="658">
        <f t="shared" ref="W45:W51" si="32">U45+V45</f>
        <v>0</v>
      </c>
      <c r="X45" s="657"/>
      <c r="Y45" s="658">
        <f t="shared" ref="Y45:Y51" si="33">W45+X45</f>
        <v>0</v>
      </c>
      <c r="Z45" s="657"/>
      <c r="AA45" s="658">
        <f t="shared" ref="AA45:AA51" si="34">Y45+Z45</f>
        <v>0</v>
      </c>
      <c r="AB45" s="657"/>
      <c r="AC45" s="658">
        <f t="shared" ref="AC45:AC51" si="35">AA45+AB45</f>
        <v>0</v>
      </c>
      <c r="AD45" s="657"/>
      <c r="AE45" s="659">
        <f t="shared" ref="AE45:AE51" si="36">AC45+AD45</f>
        <v>0</v>
      </c>
      <c r="AF45" s="657"/>
      <c r="AG45" s="658">
        <f t="shared" ref="AG45:AG51" si="37">AF45+AE45</f>
        <v>0</v>
      </c>
      <c r="AH45" s="657"/>
      <c r="AI45" s="658">
        <f t="shared" ref="AI45:AI51" si="38">AG45+AH45</f>
        <v>0</v>
      </c>
      <c r="AJ45" s="657"/>
      <c r="AK45" s="658">
        <f t="shared" ref="AK45:AK51" si="39">AI45+AJ45</f>
        <v>0</v>
      </c>
      <c r="AL45" s="657"/>
      <c r="AM45" s="658">
        <f t="shared" ref="AM45:AM51" si="40">AK45+AL45</f>
        <v>0</v>
      </c>
      <c r="AN45" s="657"/>
      <c r="AO45" s="658">
        <f t="shared" ref="AO45:AO51" si="41">AM45+AN45</f>
        <v>0</v>
      </c>
      <c r="AP45" s="657"/>
      <c r="AQ45" s="659">
        <f t="shared" ref="AQ45:AQ51" si="42">AO45+AP45</f>
        <v>0</v>
      </c>
      <c r="AR45" s="657"/>
      <c r="AS45" s="658">
        <f t="shared" ref="AS45:AS51" si="43">AR45+AQ45</f>
        <v>0</v>
      </c>
      <c r="AT45" s="657"/>
      <c r="AU45" s="658">
        <f t="shared" ref="AU45:AU51" si="44">AS45+AT45</f>
        <v>0</v>
      </c>
      <c r="AV45" s="657"/>
      <c r="AW45" s="658">
        <f t="shared" ref="AW45:AW51" si="45">AU45+AV45</f>
        <v>0</v>
      </c>
      <c r="AX45" s="657"/>
      <c r="AY45" s="658">
        <f t="shared" ref="AY45:AY51" si="46">AW45+AX45</f>
        <v>0</v>
      </c>
      <c r="AZ45" s="657"/>
      <c r="BA45" s="658">
        <f t="shared" ref="BA45:BA51" si="47">AY45+AZ45</f>
        <v>0</v>
      </c>
      <c r="BB45" s="657"/>
      <c r="BC45" s="659">
        <f t="shared" ref="BC45:BC51" si="48">BA45+BB45</f>
        <v>0</v>
      </c>
    </row>
    <row r="46" spans="2:55" ht="11.1" customHeight="1">
      <c r="B46" s="651" t="s">
        <v>973</v>
      </c>
      <c r="C46" s="660" t="s">
        <v>974</v>
      </c>
      <c r="D46" s="590"/>
      <c r="E46" s="654"/>
      <c r="F46" s="655"/>
      <c r="G46" s="656"/>
      <c r="H46" s="657"/>
      <c r="I46" s="658">
        <f t="shared" si="25"/>
        <v>0</v>
      </c>
      <c r="J46" s="657"/>
      <c r="K46" s="658">
        <f t="shared" si="26"/>
        <v>0</v>
      </c>
      <c r="L46" s="657">
        <v>50</v>
      </c>
      <c r="M46" s="658">
        <f t="shared" si="27"/>
        <v>50</v>
      </c>
      <c r="N46" s="657">
        <v>50</v>
      </c>
      <c r="O46" s="658">
        <f t="shared" si="28"/>
        <v>100</v>
      </c>
      <c r="P46" s="657"/>
      <c r="Q46" s="658">
        <f t="shared" si="29"/>
        <v>100</v>
      </c>
      <c r="R46" s="657"/>
      <c r="S46" s="659">
        <f t="shared" si="30"/>
        <v>100</v>
      </c>
      <c r="T46" s="657"/>
      <c r="U46" s="658">
        <f t="shared" si="31"/>
        <v>100</v>
      </c>
      <c r="V46" s="657"/>
      <c r="W46" s="658">
        <f t="shared" si="32"/>
        <v>100</v>
      </c>
      <c r="X46" s="657"/>
      <c r="Y46" s="658">
        <f t="shared" si="33"/>
        <v>100</v>
      </c>
      <c r="Z46" s="657"/>
      <c r="AA46" s="658">
        <f t="shared" si="34"/>
        <v>100</v>
      </c>
      <c r="AB46" s="657"/>
      <c r="AC46" s="658">
        <f t="shared" si="35"/>
        <v>100</v>
      </c>
      <c r="AD46" s="657"/>
      <c r="AE46" s="659">
        <f t="shared" si="36"/>
        <v>100</v>
      </c>
      <c r="AF46" s="657"/>
      <c r="AG46" s="658">
        <f t="shared" si="37"/>
        <v>100</v>
      </c>
      <c r="AH46" s="657"/>
      <c r="AI46" s="658">
        <f t="shared" si="38"/>
        <v>100</v>
      </c>
      <c r="AJ46" s="657"/>
      <c r="AK46" s="658">
        <f t="shared" si="39"/>
        <v>100</v>
      </c>
      <c r="AL46" s="657"/>
      <c r="AM46" s="658">
        <f t="shared" si="40"/>
        <v>100</v>
      </c>
      <c r="AN46" s="657"/>
      <c r="AO46" s="658">
        <f t="shared" si="41"/>
        <v>100</v>
      </c>
      <c r="AP46" s="657"/>
      <c r="AQ46" s="659">
        <f t="shared" si="42"/>
        <v>100</v>
      </c>
      <c r="AR46" s="657"/>
      <c r="AS46" s="658">
        <f t="shared" si="43"/>
        <v>100</v>
      </c>
      <c r="AT46" s="657"/>
      <c r="AU46" s="658">
        <f t="shared" si="44"/>
        <v>100</v>
      </c>
      <c r="AV46" s="657"/>
      <c r="AW46" s="658">
        <f t="shared" si="45"/>
        <v>100</v>
      </c>
      <c r="AX46" s="657"/>
      <c r="AY46" s="658">
        <f t="shared" si="46"/>
        <v>100</v>
      </c>
      <c r="AZ46" s="657"/>
      <c r="BA46" s="658">
        <f t="shared" si="47"/>
        <v>100</v>
      </c>
      <c r="BB46" s="657"/>
      <c r="BC46" s="659">
        <f t="shared" si="48"/>
        <v>100</v>
      </c>
    </row>
    <row r="47" spans="2:55" ht="11.1" customHeight="1">
      <c r="B47" s="651" t="s">
        <v>975</v>
      </c>
      <c r="C47" s="660" t="s">
        <v>976</v>
      </c>
      <c r="D47" s="590"/>
      <c r="E47" s="654"/>
      <c r="F47" s="655"/>
      <c r="G47" s="656"/>
      <c r="H47" s="657"/>
      <c r="I47" s="658">
        <f t="shared" si="25"/>
        <v>0</v>
      </c>
      <c r="J47" s="657"/>
      <c r="K47" s="658">
        <f t="shared" si="26"/>
        <v>0</v>
      </c>
      <c r="L47" s="657"/>
      <c r="M47" s="658">
        <f t="shared" si="27"/>
        <v>0</v>
      </c>
      <c r="N47" s="657"/>
      <c r="O47" s="658">
        <f t="shared" si="28"/>
        <v>0</v>
      </c>
      <c r="P47" s="657"/>
      <c r="Q47" s="658">
        <f t="shared" si="29"/>
        <v>0</v>
      </c>
      <c r="R47" s="657"/>
      <c r="S47" s="659">
        <f t="shared" si="30"/>
        <v>0</v>
      </c>
      <c r="T47" s="657"/>
      <c r="U47" s="658">
        <f t="shared" si="31"/>
        <v>0</v>
      </c>
      <c r="V47" s="657"/>
      <c r="W47" s="658">
        <f t="shared" si="32"/>
        <v>0</v>
      </c>
      <c r="X47" s="657"/>
      <c r="Y47" s="658">
        <f t="shared" si="33"/>
        <v>0</v>
      </c>
      <c r="Z47" s="657"/>
      <c r="AA47" s="658">
        <f t="shared" si="34"/>
        <v>0</v>
      </c>
      <c r="AB47" s="657"/>
      <c r="AC47" s="658">
        <f t="shared" si="35"/>
        <v>0</v>
      </c>
      <c r="AD47" s="657"/>
      <c r="AE47" s="659">
        <f t="shared" si="36"/>
        <v>0</v>
      </c>
      <c r="AF47" s="657"/>
      <c r="AG47" s="658">
        <f t="shared" si="37"/>
        <v>0</v>
      </c>
      <c r="AH47" s="657"/>
      <c r="AI47" s="658">
        <f t="shared" si="38"/>
        <v>0</v>
      </c>
      <c r="AJ47" s="657"/>
      <c r="AK47" s="658">
        <f t="shared" si="39"/>
        <v>0</v>
      </c>
      <c r="AL47" s="657"/>
      <c r="AM47" s="658">
        <f t="shared" si="40"/>
        <v>0</v>
      </c>
      <c r="AN47" s="657"/>
      <c r="AO47" s="658">
        <f t="shared" si="41"/>
        <v>0</v>
      </c>
      <c r="AP47" s="657"/>
      <c r="AQ47" s="659">
        <f t="shared" si="42"/>
        <v>0</v>
      </c>
      <c r="AR47" s="657"/>
      <c r="AS47" s="658">
        <f t="shared" si="43"/>
        <v>0</v>
      </c>
      <c r="AT47" s="657"/>
      <c r="AU47" s="658">
        <f t="shared" si="44"/>
        <v>0</v>
      </c>
      <c r="AV47" s="657"/>
      <c r="AW47" s="658">
        <f t="shared" si="45"/>
        <v>0</v>
      </c>
      <c r="AX47" s="657"/>
      <c r="AY47" s="658">
        <f t="shared" si="46"/>
        <v>0</v>
      </c>
      <c r="AZ47" s="657"/>
      <c r="BA47" s="658">
        <f t="shared" si="47"/>
        <v>0</v>
      </c>
      <c r="BB47" s="657"/>
      <c r="BC47" s="659">
        <f t="shared" si="48"/>
        <v>0</v>
      </c>
    </row>
    <row r="48" spans="2:55" ht="11.1" customHeight="1">
      <c r="B48" s="651" t="s">
        <v>977</v>
      </c>
      <c r="C48" s="660" t="s">
        <v>978</v>
      </c>
      <c r="D48" s="590"/>
      <c r="E48" s="654"/>
      <c r="F48" s="655"/>
      <c r="G48" s="656"/>
      <c r="H48" s="657"/>
      <c r="I48" s="658">
        <f t="shared" si="25"/>
        <v>0</v>
      </c>
      <c r="J48" s="657"/>
      <c r="K48" s="658">
        <f t="shared" si="26"/>
        <v>0</v>
      </c>
      <c r="L48" s="657"/>
      <c r="M48" s="658">
        <f t="shared" si="27"/>
        <v>0</v>
      </c>
      <c r="N48" s="657"/>
      <c r="O48" s="658">
        <f t="shared" si="28"/>
        <v>0</v>
      </c>
      <c r="P48" s="657"/>
      <c r="Q48" s="658">
        <f t="shared" si="29"/>
        <v>0</v>
      </c>
      <c r="R48" s="657"/>
      <c r="S48" s="659">
        <f t="shared" si="30"/>
        <v>0</v>
      </c>
      <c r="T48" s="657"/>
      <c r="U48" s="658">
        <f t="shared" si="31"/>
        <v>0</v>
      </c>
      <c r="V48" s="657"/>
      <c r="W48" s="658">
        <f t="shared" si="32"/>
        <v>0</v>
      </c>
      <c r="X48" s="657"/>
      <c r="Y48" s="658">
        <f t="shared" si="33"/>
        <v>0</v>
      </c>
      <c r="Z48" s="657"/>
      <c r="AA48" s="658">
        <f t="shared" si="34"/>
        <v>0</v>
      </c>
      <c r="AB48" s="657"/>
      <c r="AC48" s="658">
        <f t="shared" si="35"/>
        <v>0</v>
      </c>
      <c r="AD48" s="657"/>
      <c r="AE48" s="659">
        <f t="shared" si="36"/>
        <v>0</v>
      </c>
      <c r="AF48" s="657"/>
      <c r="AG48" s="658">
        <f t="shared" si="37"/>
        <v>0</v>
      </c>
      <c r="AH48" s="657"/>
      <c r="AI48" s="658">
        <f t="shared" si="38"/>
        <v>0</v>
      </c>
      <c r="AJ48" s="657"/>
      <c r="AK48" s="658">
        <f t="shared" si="39"/>
        <v>0</v>
      </c>
      <c r="AL48" s="657"/>
      <c r="AM48" s="658">
        <f t="shared" si="40"/>
        <v>0</v>
      </c>
      <c r="AN48" s="657"/>
      <c r="AO48" s="658">
        <f t="shared" si="41"/>
        <v>0</v>
      </c>
      <c r="AP48" s="657"/>
      <c r="AQ48" s="659">
        <f t="shared" si="42"/>
        <v>0</v>
      </c>
      <c r="AR48" s="657"/>
      <c r="AS48" s="658">
        <f t="shared" si="43"/>
        <v>0</v>
      </c>
      <c r="AT48" s="657"/>
      <c r="AU48" s="658">
        <f t="shared" si="44"/>
        <v>0</v>
      </c>
      <c r="AV48" s="657"/>
      <c r="AW48" s="658">
        <f t="shared" si="45"/>
        <v>0</v>
      </c>
      <c r="AX48" s="657"/>
      <c r="AY48" s="658">
        <f t="shared" si="46"/>
        <v>0</v>
      </c>
      <c r="AZ48" s="657"/>
      <c r="BA48" s="658">
        <f t="shared" si="47"/>
        <v>0</v>
      </c>
      <c r="BB48" s="657"/>
      <c r="BC48" s="659">
        <f t="shared" si="48"/>
        <v>0</v>
      </c>
    </row>
    <row r="49" spans="1:55" ht="11.1" customHeight="1">
      <c r="B49" s="651" t="s">
        <v>979</v>
      </c>
      <c r="C49" s="660" t="s">
        <v>980</v>
      </c>
      <c r="D49" s="590"/>
      <c r="E49" s="654"/>
      <c r="F49" s="655"/>
      <c r="G49" s="656"/>
      <c r="H49" s="657"/>
      <c r="I49" s="658">
        <f t="shared" si="25"/>
        <v>0</v>
      </c>
      <c r="J49" s="657"/>
      <c r="K49" s="658">
        <f t="shared" si="26"/>
        <v>0</v>
      </c>
      <c r="L49" s="657"/>
      <c r="M49" s="658">
        <f t="shared" si="27"/>
        <v>0</v>
      </c>
      <c r="N49" s="657">
        <v>100</v>
      </c>
      <c r="O49" s="658">
        <f t="shared" si="28"/>
        <v>100</v>
      </c>
      <c r="P49" s="657"/>
      <c r="Q49" s="658">
        <f t="shared" si="29"/>
        <v>100</v>
      </c>
      <c r="R49" s="657"/>
      <c r="S49" s="659">
        <f t="shared" si="30"/>
        <v>100</v>
      </c>
      <c r="T49" s="657"/>
      <c r="U49" s="658">
        <f t="shared" si="31"/>
        <v>100</v>
      </c>
      <c r="V49" s="657"/>
      <c r="W49" s="658">
        <f t="shared" si="32"/>
        <v>100</v>
      </c>
      <c r="X49" s="657"/>
      <c r="Y49" s="658">
        <f t="shared" si="33"/>
        <v>100</v>
      </c>
      <c r="Z49" s="657"/>
      <c r="AA49" s="658">
        <f t="shared" si="34"/>
        <v>100</v>
      </c>
      <c r="AB49" s="657"/>
      <c r="AC49" s="658">
        <f t="shared" si="35"/>
        <v>100</v>
      </c>
      <c r="AD49" s="657"/>
      <c r="AE49" s="659">
        <f t="shared" si="36"/>
        <v>100</v>
      </c>
      <c r="AF49" s="657"/>
      <c r="AG49" s="658">
        <f t="shared" si="37"/>
        <v>100</v>
      </c>
      <c r="AH49" s="657"/>
      <c r="AI49" s="658">
        <f t="shared" si="38"/>
        <v>100</v>
      </c>
      <c r="AJ49" s="657"/>
      <c r="AK49" s="658">
        <f t="shared" si="39"/>
        <v>100</v>
      </c>
      <c r="AL49" s="657"/>
      <c r="AM49" s="658">
        <f t="shared" si="40"/>
        <v>100</v>
      </c>
      <c r="AN49" s="657"/>
      <c r="AO49" s="658">
        <f t="shared" si="41"/>
        <v>100</v>
      </c>
      <c r="AP49" s="657"/>
      <c r="AQ49" s="659">
        <f t="shared" si="42"/>
        <v>100</v>
      </c>
      <c r="AR49" s="657"/>
      <c r="AS49" s="658">
        <f t="shared" si="43"/>
        <v>100</v>
      </c>
      <c r="AT49" s="657"/>
      <c r="AU49" s="658">
        <f t="shared" si="44"/>
        <v>100</v>
      </c>
      <c r="AV49" s="657"/>
      <c r="AW49" s="658">
        <f t="shared" si="45"/>
        <v>100</v>
      </c>
      <c r="AX49" s="657"/>
      <c r="AY49" s="658">
        <f t="shared" si="46"/>
        <v>100</v>
      </c>
      <c r="AZ49" s="657"/>
      <c r="BA49" s="658">
        <f t="shared" si="47"/>
        <v>100</v>
      </c>
      <c r="BB49" s="657"/>
      <c r="BC49" s="659">
        <f t="shared" si="48"/>
        <v>100</v>
      </c>
    </row>
    <row r="50" spans="1:55" ht="11.1" customHeight="1">
      <c r="B50" s="651" t="s">
        <v>981</v>
      </c>
      <c r="C50" s="660" t="s">
        <v>982</v>
      </c>
      <c r="D50" s="590"/>
      <c r="E50" s="654"/>
      <c r="F50" s="655"/>
      <c r="G50" s="656"/>
      <c r="H50" s="657"/>
      <c r="I50" s="658">
        <f t="shared" si="25"/>
        <v>0</v>
      </c>
      <c r="J50" s="657"/>
      <c r="K50" s="658">
        <f t="shared" si="26"/>
        <v>0</v>
      </c>
      <c r="L50" s="657"/>
      <c r="M50" s="658">
        <f t="shared" si="27"/>
        <v>0</v>
      </c>
      <c r="N50" s="657"/>
      <c r="O50" s="658">
        <f t="shared" si="28"/>
        <v>0</v>
      </c>
      <c r="P50" s="657"/>
      <c r="Q50" s="658">
        <f t="shared" si="29"/>
        <v>0</v>
      </c>
      <c r="R50" s="657"/>
      <c r="S50" s="659">
        <f t="shared" si="30"/>
        <v>0</v>
      </c>
      <c r="T50" s="657"/>
      <c r="U50" s="658">
        <f t="shared" si="31"/>
        <v>0</v>
      </c>
      <c r="V50" s="657"/>
      <c r="W50" s="658">
        <f t="shared" si="32"/>
        <v>0</v>
      </c>
      <c r="X50" s="657"/>
      <c r="Y50" s="658">
        <f t="shared" si="33"/>
        <v>0</v>
      </c>
      <c r="Z50" s="657"/>
      <c r="AA50" s="658">
        <f t="shared" si="34"/>
        <v>0</v>
      </c>
      <c r="AB50" s="657"/>
      <c r="AC50" s="658">
        <f t="shared" si="35"/>
        <v>0</v>
      </c>
      <c r="AD50" s="657"/>
      <c r="AE50" s="659">
        <f t="shared" si="36"/>
        <v>0</v>
      </c>
      <c r="AF50" s="657"/>
      <c r="AG50" s="658">
        <f t="shared" si="37"/>
        <v>0</v>
      </c>
      <c r="AH50" s="657"/>
      <c r="AI50" s="658">
        <f t="shared" si="38"/>
        <v>0</v>
      </c>
      <c r="AJ50" s="657"/>
      <c r="AK50" s="658">
        <f t="shared" si="39"/>
        <v>0</v>
      </c>
      <c r="AL50" s="657"/>
      <c r="AM50" s="658">
        <f t="shared" si="40"/>
        <v>0</v>
      </c>
      <c r="AN50" s="657"/>
      <c r="AO50" s="658">
        <f t="shared" si="41"/>
        <v>0</v>
      </c>
      <c r="AP50" s="657"/>
      <c r="AQ50" s="659">
        <f t="shared" si="42"/>
        <v>0</v>
      </c>
      <c r="AR50" s="657"/>
      <c r="AS50" s="658">
        <f t="shared" si="43"/>
        <v>0</v>
      </c>
      <c r="AT50" s="657"/>
      <c r="AU50" s="658">
        <f t="shared" si="44"/>
        <v>0</v>
      </c>
      <c r="AV50" s="657"/>
      <c r="AW50" s="658">
        <f t="shared" si="45"/>
        <v>0</v>
      </c>
      <c r="AX50" s="657"/>
      <c r="AY50" s="658">
        <f t="shared" si="46"/>
        <v>0</v>
      </c>
      <c r="AZ50" s="657"/>
      <c r="BA50" s="658">
        <f t="shared" si="47"/>
        <v>0</v>
      </c>
      <c r="BB50" s="657"/>
      <c r="BC50" s="659">
        <f t="shared" si="48"/>
        <v>0</v>
      </c>
    </row>
    <row r="51" spans="1:55" ht="11.1" customHeight="1">
      <c r="B51" s="651" t="s">
        <v>805</v>
      </c>
      <c r="C51" s="660" t="str">
        <f>LOWER([2]Orçamento!D249)</f>
        <v/>
      </c>
      <c r="D51" s="590"/>
      <c r="E51" s="654"/>
      <c r="F51" s="655"/>
      <c r="G51" s="656"/>
      <c r="H51" s="657"/>
      <c r="I51" s="658">
        <f t="shared" si="25"/>
        <v>0</v>
      </c>
      <c r="J51" s="657"/>
      <c r="K51" s="658">
        <f t="shared" si="26"/>
        <v>0</v>
      </c>
      <c r="L51" s="657"/>
      <c r="M51" s="658">
        <f t="shared" si="27"/>
        <v>0</v>
      </c>
      <c r="N51" s="657"/>
      <c r="O51" s="658">
        <f t="shared" si="28"/>
        <v>0</v>
      </c>
      <c r="P51" s="657"/>
      <c r="Q51" s="658">
        <f t="shared" si="29"/>
        <v>0</v>
      </c>
      <c r="R51" s="657"/>
      <c r="S51" s="659">
        <f t="shared" si="30"/>
        <v>0</v>
      </c>
      <c r="T51" s="657"/>
      <c r="U51" s="658">
        <f t="shared" si="31"/>
        <v>0</v>
      </c>
      <c r="V51" s="657"/>
      <c r="W51" s="658">
        <f t="shared" si="32"/>
        <v>0</v>
      </c>
      <c r="X51" s="657"/>
      <c r="Y51" s="658">
        <f t="shared" si="33"/>
        <v>0</v>
      </c>
      <c r="Z51" s="657"/>
      <c r="AA51" s="658">
        <f t="shared" si="34"/>
        <v>0</v>
      </c>
      <c r="AB51" s="657"/>
      <c r="AC51" s="658">
        <f t="shared" si="35"/>
        <v>0</v>
      </c>
      <c r="AD51" s="657"/>
      <c r="AE51" s="659">
        <f t="shared" si="36"/>
        <v>0</v>
      </c>
      <c r="AF51" s="657"/>
      <c r="AG51" s="658">
        <f t="shared" si="37"/>
        <v>0</v>
      </c>
      <c r="AH51" s="657"/>
      <c r="AI51" s="658">
        <f t="shared" si="38"/>
        <v>0</v>
      </c>
      <c r="AJ51" s="657"/>
      <c r="AK51" s="658">
        <f t="shared" si="39"/>
        <v>0</v>
      </c>
      <c r="AL51" s="657"/>
      <c r="AM51" s="658">
        <f t="shared" si="40"/>
        <v>0</v>
      </c>
      <c r="AN51" s="657"/>
      <c r="AO51" s="658">
        <f t="shared" si="41"/>
        <v>0</v>
      </c>
      <c r="AP51" s="657"/>
      <c r="AQ51" s="659">
        <f t="shared" si="42"/>
        <v>0</v>
      </c>
      <c r="AR51" s="657"/>
      <c r="AS51" s="658">
        <f t="shared" si="43"/>
        <v>0</v>
      </c>
      <c r="AT51" s="657"/>
      <c r="AU51" s="658">
        <f t="shared" si="44"/>
        <v>0</v>
      </c>
      <c r="AV51" s="657"/>
      <c r="AW51" s="658">
        <f t="shared" si="45"/>
        <v>0</v>
      </c>
      <c r="AX51" s="657"/>
      <c r="AY51" s="658">
        <f t="shared" si="46"/>
        <v>0</v>
      </c>
      <c r="AZ51" s="657"/>
      <c r="BA51" s="658">
        <f t="shared" si="47"/>
        <v>0</v>
      </c>
      <c r="BB51" s="657"/>
      <c r="BC51" s="659">
        <f t="shared" si="48"/>
        <v>0</v>
      </c>
    </row>
    <row r="52" spans="1:55" ht="11.1" customHeight="1">
      <c r="B52" s="651">
        <v>8</v>
      </c>
      <c r="C52" s="660" t="s">
        <v>983</v>
      </c>
      <c r="D52" s="590"/>
      <c r="E52" s="661"/>
      <c r="F52" s="662"/>
      <c r="G52" s="663"/>
      <c r="H52" s="664"/>
      <c r="I52" s="664"/>
      <c r="J52" s="664"/>
      <c r="K52" s="664"/>
      <c r="L52" s="664"/>
      <c r="M52" s="664"/>
      <c r="N52" s="664"/>
      <c r="O52" s="664"/>
      <c r="P52" s="664"/>
      <c r="Q52" s="664"/>
      <c r="R52" s="664"/>
      <c r="S52" s="665"/>
      <c r="T52" s="664"/>
      <c r="U52" s="664"/>
      <c r="V52" s="664"/>
      <c r="W52" s="664"/>
      <c r="X52" s="664"/>
      <c r="Y52" s="664"/>
      <c r="Z52" s="664"/>
      <c r="AA52" s="664"/>
      <c r="AB52" s="664"/>
      <c r="AC52" s="664"/>
      <c r="AD52" s="664"/>
      <c r="AE52" s="665"/>
      <c r="AF52" s="664"/>
      <c r="AG52" s="664"/>
      <c r="AH52" s="664"/>
      <c r="AI52" s="664"/>
      <c r="AJ52" s="664"/>
      <c r="AK52" s="664"/>
      <c r="AL52" s="664"/>
      <c r="AM52" s="664"/>
      <c r="AN52" s="664"/>
      <c r="AO52" s="664"/>
      <c r="AP52" s="664"/>
      <c r="AQ52" s="665"/>
      <c r="AR52" s="664"/>
      <c r="AS52" s="664"/>
      <c r="AT52" s="664"/>
      <c r="AU52" s="664"/>
      <c r="AV52" s="664"/>
      <c r="AW52" s="664"/>
      <c r="AX52" s="664"/>
      <c r="AY52" s="664"/>
      <c r="AZ52" s="664"/>
      <c r="BA52" s="664"/>
      <c r="BB52" s="664"/>
      <c r="BC52" s="665"/>
    </row>
    <row r="53" spans="1:55" ht="11.1" customHeight="1">
      <c r="B53" s="651" t="s">
        <v>984</v>
      </c>
      <c r="C53" s="660" t="s">
        <v>985</v>
      </c>
      <c r="D53" s="590"/>
      <c r="E53" s="666"/>
      <c r="F53" s="655"/>
      <c r="G53" s="667"/>
      <c r="H53" s="657"/>
      <c r="I53" s="658">
        <f>H53+G53</f>
        <v>0</v>
      </c>
      <c r="J53" s="657">
        <v>40</v>
      </c>
      <c r="K53" s="658">
        <f>I53+J53</f>
        <v>40</v>
      </c>
      <c r="L53" s="657"/>
      <c r="M53" s="658">
        <f>K53+L53</f>
        <v>40</v>
      </c>
      <c r="N53" s="657"/>
      <c r="O53" s="658">
        <f>M53+N53</f>
        <v>40</v>
      </c>
      <c r="P53" s="657">
        <v>60</v>
      </c>
      <c r="Q53" s="658">
        <f>O53+P53</f>
        <v>100</v>
      </c>
      <c r="R53" s="657"/>
      <c r="S53" s="659">
        <f>Q53+R53</f>
        <v>100</v>
      </c>
      <c r="T53" s="657"/>
      <c r="U53" s="658">
        <f>T53+S53</f>
        <v>100</v>
      </c>
      <c r="V53" s="657"/>
      <c r="W53" s="658">
        <f>U53+V53</f>
        <v>100</v>
      </c>
      <c r="X53" s="657"/>
      <c r="Y53" s="658">
        <f>W53+X53</f>
        <v>100</v>
      </c>
      <c r="Z53" s="657"/>
      <c r="AA53" s="658">
        <f>Y53+Z53</f>
        <v>100</v>
      </c>
      <c r="AB53" s="657"/>
      <c r="AC53" s="658">
        <f>AA53+AB53</f>
        <v>100</v>
      </c>
      <c r="AD53" s="657"/>
      <c r="AE53" s="659">
        <f>AC53+AD53</f>
        <v>100</v>
      </c>
      <c r="AF53" s="657"/>
      <c r="AG53" s="658">
        <f>AF53+AE53</f>
        <v>100</v>
      </c>
      <c r="AH53" s="657"/>
      <c r="AI53" s="658">
        <f>AG53+AH53</f>
        <v>100</v>
      </c>
      <c r="AJ53" s="657"/>
      <c r="AK53" s="658">
        <f>AI53+AJ53</f>
        <v>100</v>
      </c>
      <c r="AL53" s="657"/>
      <c r="AM53" s="658">
        <f>AK53+AL53</f>
        <v>100</v>
      </c>
      <c r="AN53" s="657"/>
      <c r="AO53" s="658">
        <f>AM53+AN53</f>
        <v>100</v>
      </c>
      <c r="AP53" s="657"/>
      <c r="AQ53" s="659">
        <f>AO53+AP53</f>
        <v>100</v>
      </c>
      <c r="AR53" s="657"/>
      <c r="AS53" s="658">
        <f>AR53+AQ53</f>
        <v>100</v>
      </c>
      <c r="AT53" s="657"/>
      <c r="AU53" s="658">
        <f>AS53+AT53</f>
        <v>100</v>
      </c>
      <c r="AV53" s="657"/>
      <c r="AW53" s="658">
        <f>AU53+AV53</f>
        <v>100</v>
      </c>
      <c r="AX53" s="657"/>
      <c r="AY53" s="658">
        <f>AW53+AX53</f>
        <v>100</v>
      </c>
      <c r="AZ53" s="657"/>
      <c r="BA53" s="658">
        <f>AY53+AZ53</f>
        <v>100</v>
      </c>
      <c r="BB53" s="657"/>
      <c r="BC53" s="659">
        <f>BA53+BB53</f>
        <v>100</v>
      </c>
    </row>
    <row r="54" spans="1:55" ht="11.1" customHeight="1">
      <c r="B54" s="651" t="s">
        <v>986</v>
      </c>
      <c r="C54" s="660" t="s">
        <v>987</v>
      </c>
      <c r="D54" s="590"/>
      <c r="E54" s="666"/>
      <c r="F54" s="655"/>
      <c r="G54" s="667"/>
      <c r="H54" s="657"/>
      <c r="I54" s="658">
        <f>H54+G54</f>
        <v>0</v>
      </c>
      <c r="J54" s="657">
        <v>40</v>
      </c>
      <c r="K54" s="658">
        <f>I54+J54</f>
        <v>40</v>
      </c>
      <c r="L54" s="657">
        <v>60</v>
      </c>
      <c r="M54" s="658">
        <f>K54+L54</f>
        <v>100</v>
      </c>
      <c r="N54" s="657"/>
      <c r="O54" s="658">
        <f>M54+N54</f>
        <v>100</v>
      </c>
      <c r="P54" s="657"/>
      <c r="Q54" s="658">
        <f>O54+P54</f>
        <v>100</v>
      </c>
      <c r="R54" s="657"/>
      <c r="S54" s="659">
        <f>Q54+R54</f>
        <v>100</v>
      </c>
      <c r="T54" s="657"/>
      <c r="U54" s="658">
        <f>T54+S54</f>
        <v>100</v>
      </c>
      <c r="V54" s="657"/>
      <c r="W54" s="658">
        <f>U54+V54</f>
        <v>100</v>
      </c>
      <c r="X54" s="657"/>
      <c r="Y54" s="658">
        <f>W54+X54</f>
        <v>100</v>
      </c>
      <c r="Z54" s="657"/>
      <c r="AA54" s="658">
        <f>Y54+Z54</f>
        <v>100</v>
      </c>
      <c r="AB54" s="657"/>
      <c r="AC54" s="658">
        <f>AA54+AB54</f>
        <v>100</v>
      </c>
      <c r="AD54" s="657"/>
      <c r="AE54" s="659">
        <f>AC54+AD54</f>
        <v>100</v>
      </c>
      <c r="AF54" s="657"/>
      <c r="AG54" s="658">
        <f>AF54+AE54</f>
        <v>100</v>
      </c>
      <c r="AH54" s="657"/>
      <c r="AI54" s="658">
        <f>AG54+AH54</f>
        <v>100</v>
      </c>
      <c r="AJ54" s="657"/>
      <c r="AK54" s="658">
        <f>AI54+AJ54</f>
        <v>100</v>
      </c>
      <c r="AL54" s="657"/>
      <c r="AM54" s="658">
        <f>AK54+AL54</f>
        <v>100</v>
      </c>
      <c r="AN54" s="657"/>
      <c r="AO54" s="658">
        <f>AM54+AN54</f>
        <v>100</v>
      </c>
      <c r="AP54" s="657"/>
      <c r="AQ54" s="659">
        <f>AO54+AP54</f>
        <v>100</v>
      </c>
      <c r="AR54" s="657"/>
      <c r="AS54" s="658">
        <f>AR54+AQ54</f>
        <v>100</v>
      </c>
      <c r="AT54" s="657"/>
      <c r="AU54" s="658">
        <f>AS54+AT54</f>
        <v>100</v>
      </c>
      <c r="AV54" s="657"/>
      <c r="AW54" s="658">
        <f>AU54+AV54</f>
        <v>100</v>
      </c>
      <c r="AX54" s="657"/>
      <c r="AY54" s="658">
        <f>AW54+AX54</f>
        <v>100</v>
      </c>
      <c r="AZ54" s="657"/>
      <c r="BA54" s="658">
        <f>AY54+AZ54</f>
        <v>100</v>
      </c>
      <c r="BB54" s="657"/>
      <c r="BC54" s="659">
        <f>BA54+BB54</f>
        <v>100</v>
      </c>
    </row>
    <row r="55" spans="1:55" ht="11.1" customHeight="1">
      <c r="B55" s="651" t="s">
        <v>988</v>
      </c>
      <c r="C55" s="660" t="s">
        <v>989</v>
      </c>
      <c r="D55" s="590"/>
      <c r="E55" s="666"/>
      <c r="F55" s="655"/>
      <c r="G55" s="667"/>
      <c r="H55" s="657"/>
      <c r="I55" s="658">
        <f>H55+G55</f>
        <v>0</v>
      </c>
      <c r="J55" s="657"/>
      <c r="K55" s="658">
        <f>I55+J55</f>
        <v>0</v>
      </c>
      <c r="L55" s="657">
        <v>70</v>
      </c>
      <c r="M55" s="658">
        <f>K55+L55</f>
        <v>70</v>
      </c>
      <c r="N55" s="657">
        <v>30</v>
      </c>
      <c r="O55" s="658">
        <f>M55+N55</f>
        <v>100</v>
      </c>
      <c r="P55" s="657"/>
      <c r="Q55" s="658">
        <f>O55+P55</f>
        <v>100</v>
      </c>
      <c r="R55" s="657"/>
      <c r="S55" s="659">
        <f>Q55+R55</f>
        <v>100</v>
      </c>
      <c r="T55" s="657"/>
      <c r="U55" s="658">
        <f>T55+S55</f>
        <v>100</v>
      </c>
      <c r="V55" s="657"/>
      <c r="W55" s="658">
        <f>U55+V55</f>
        <v>100</v>
      </c>
      <c r="X55" s="657"/>
      <c r="Y55" s="658">
        <f>W55+X55</f>
        <v>100</v>
      </c>
      <c r="Z55" s="657"/>
      <c r="AA55" s="658">
        <f>Y55+Z55</f>
        <v>100</v>
      </c>
      <c r="AB55" s="657"/>
      <c r="AC55" s="658">
        <f>AA55+AB55</f>
        <v>100</v>
      </c>
      <c r="AD55" s="657"/>
      <c r="AE55" s="659">
        <f>AC55+AD55</f>
        <v>100</v>
      </c>
      <c r="AF55" s="657"/>
      <c r="AG55" s="658">
        <f>AF55+AE55</f>
        <v>100</v>
      </c>
      <c r="AH55" s="657"/>
      <c r="AI55" s="658">
        <f>AG55+AH55</f>
        <v>100</v>
      </c>
      <c r="AJ55" s="657"/>
      <c r="AK55" s="658">
        <f>AI55+AJ55</f>
        <v>100</v>
      </c>
      <c r="AL55" s="657"/>
      <c r="AM55" s="658">
        <f>AK55+AL55</f>
        <v>100</v>
      </c>
      <c r="AN55" s="657"/>
      <c r="AO55" s="658">
        <f>AM55+AN55</f>
        <v>100</v>
      </c>
      <c r="AP55" s="657"/>
      <c r="AQ55" s="659">
        <f>AO55+AP55</f>
        <v>100</v>
      </c>
      <c r="AR55" s="657"/>
      <c r="AS55" s="658">
        <f>AR55+AQ55</f>
        <v>100</v>
      </c>
      <c r="AT55" s="657"/>
      <c r="AU55" s="658">
        <f>AS55+AT55</f>
        <v>100</v>
      </c>
      <c r="AV55" s="657"/>
      <c r="AW55" s="658">
        <f>AU55+AV55</f>
        <v>100</v>
      </c>
      <c r="AX55" s="657"/>
      <c r="AY55" s="658">
        <f>AW55+AX55</f>
        <v>100</v>
      </c>
      <c r="AZ55" s="657"/>
      <c r="BA55" s="658">
        <f>AY55+AZ55</f>
        <v>100</v>
      </c>
      <c r="BB55" s="657"/>
      <c r="BC55" s="659">
        <f>BA55+BB55</f>
        <v>100</v>
      </c>
    </row>
    <row r="56" spans="1:55" ht="11.1" customHeight="1">
      <c r="B56" s="651" t="s">
        <v>990</v>
      </c>
      <c r="C56" s="660" t="s">
        <v>991</v>
      </c>
      <c r="D56" s="590"/>
      <c r="E56" s="666"/>
      <c r="F56" s="655"/>
      <c r="G56" s="667"/>
      <c r="H56" s="657"/>
      <c r="I56" s="658">
        <f>H56+G56</f>
        <v>0</v>
      </c>
      <c r="J56" s="657"/>
      <c r="K56" s="658">
        <f>I56+J56</f>
        <v>0</v>
      </c>
      <c r="L56" s="657"/>
      <c r="M56" s="658">
        <f>K56+L56</f>
        <v>0</v>
      </c>
      <c r="N56" s="657"/>
      <c r="O56" s="658">
        <f>M56+N56</f>
        <v>0</v>
      </c>
      <c r="P56" s="657"/>
      <c r="Q56" s="658">
        <f>O56+P56</f>
        <v>0</v>
      </c>
      <c r="R56" s="657"/>
      <c r="S56" s="659">
        <f>Q56+R56</f>
        <v>0</v>
      </c>
      <c r="T56" s="657"/>
      <c r="U56" s="658">
        <f>T56+S56</f>
        <v>0</v>
      </c>
      <c r="V56" s="657"/>
      <c r="W56" s="658">
        <f>U56+V56</f>
        <v>0</v>
      </c>
      <c r="X56" s="657"/>
      <c r="Y56" s="658">
        <f>W56+X56</f>
        <v>0</v>
      </c>
      <c r="Z56" s="657"/>
      <c r="AA56" s="658">
        <f>Y56+Z56</f>
        <v>0</v>
      </c>
      <c r="AB56" s="657"/>
      <c r="AC56" s="658">
        <f>AA56+AB56</f>
        <v>0</v>
      </c>
      <c r="AD56" s="657"/>
      <c r="AE56" s="659">
        <f>AC56+AD56</f>
        <v>0</v>
      </c>
      <c r="AF56" s="657"/>
      <c r="AG56" s="658">
        <f>AF56+AE56</f>
        <v>0</v>
      </c>
      <c r="AH56" s="657"/>
      <c r="AI56" s="658">
        <f>AG56+AH56</f>
        <v>0</v>
      </c>
      <c r="AJ56" s="657"/>
      <c r="AK56" s="658">
        <f>AI56+AJ56</f>
        <v>0</v>
      </c>
      <c r="AL56" s="657"/>
      <c r="AM56" s="658">
        <f>AK56+AL56</f>
        <v>0</v>
      </c>
      <c r="AN56" s="657"/>
      <c r="AO56" s="658">
        <f>AM56+AN56</f>
        <v>0</v>
      </c>
      <c r="AP56" s="657"/>
      <c r="AQ56" s="659">
        <f>AO56+AP56</f>
        <v>0</v>
      </c>
      <c r="AR56" s="657"/>
      <c r="AS56" s="658">
        <f>AR56+AQ56</f>
        <v>0</v>
      </c>
      <c r="AT56" s="657"/>
      <c r="AU56" s="658">
        <f>AS56+AT56</f>
        <v>0</v>
      </c>
      <c r="AV56" s="657"/>
      <c r="AW56" s="658">
        <f>AU56+AV56</f>
        <v>0</v>
      </c>
      <c r="AX56" s="657"/>
      <c r="AY56" s="658">
        <f>AW56+AX56</f>
        <v>0</v>
      </c>
      <c r="AZ56" s="657"/>
      <c r="BA56" s="658">
        <f>AY56+AZ56</f>
        <v>0</v>
      </c>
      <c r="BB56" s="657"/>
      <c r="BC56" s="659">
        <f>BA56+BB56</f>
        <v>0</v>
      </c>
    </row>
    <row r="57" spans="1:55" ht="11.1" customHeight="1">
      <c r="B57" s="651" t="s">
        <v>992</v>
      </c>
      <c r="C57" s="660" t="s">
        <v>993</v>
      </c>
      <c r="D57" s="590"/>
      <c r="E57" s="666"/>
      <c r="F57" s="655"/>
      <c r="G57" s="667"/>
      <c r="H57" s="657"/>
      <c r="I57" s="658">
        <f>H57+G57</f>
        <v>0</v>
      </c>
      <c r="J57" s="657"/>
      <c r="K57" s="658">
        <f>I57+J57</f>
        <v>0</v>
      </c>
      <c r="L57" s="657"/>
      <c r="M57" s="658">
        <f>K57+L57</f>
        <v>0</v>
      </c>
      <c r="N57" s="657"/>
      <c r="O57" s="658">
        <f>M57+N57</f>
        <v>0</v>
      </c>
      <c r="P57" s="657">
        <v>50</v>
      </c>
      <c r="Q57" s="658">
        <f>O57+P57</f>
        <v>50</v>
      </c>
      <c r="R57" s="657">
        <v>50</v>
      </c>
      <c r="S57" s="659">
        <f>Q57+R57</f>
        <v>100</v>
      </c>
      <c r="T57" s="657"/>
      <c r="U57" s="658">
        <f>T57+S57</f>
        <v>100</v>
      </c>
      <c r="V57" s="657"/>
      <c r="W57" s="658">
        <f>U57+V57</f>
        <v>100</v>
      </c>
      <c r="X57" s="657"/>
      <c r="Y57" s="658">
        <f>W57+X57</f>
        <v>100</v>
      </c>
      <c r="Z57" s="657"/>
      <c r="AA57" s="658">
        <f>Y57+Z57</f>
        <v>100</v>
      </c>
      <c r="AB57" s="657"/>
      <c r="AC57" s="658">
        <f>AA57+AB57</f>
        <v>100</v>
      </c>
      <c r="AD57" s="657"/>
      <c r="AE57" s="659">
        <f>AC57+AD57</f>
        <v>100</v>
      </c>
      <c r="AF57" s="657"/>
      <c r="AG57" s="658">
        <f>AF57+AE57</f>
        <v>100</v>
      </c>
      <c r="AH57" s="657"/>
      <c r="AI57" s="658">
        <f>AG57+AH57</f>
        <v>100</v>
      </c>
      <c r="AJ57" s="657"/>
      <c r="AK57" s="658">
        <f>AI57+AJ57</f>
        <v>100</v>
      </c>
      <c r="AL57" s="657"/>
      <c r="AM57" s="658">
        <f>AK57+AL57</f>
        <v>100</v>
      </c>
      <c r="AN57" s="657"/>
      <c r="AO57" s="658">
        <f>AM57+AN57</f>
        <v>100</v>
      </c>
      <c r="AP57" s="657"/>
      <c r="AQ57" s="659">
        <f>AO57+AP57</f>
        <v>100</v>
      </c>
      <c r="AR57" s="657"/>
      <c r="AS57" s="658">
        <f>AR57+AQ57</f>
        <v>100</v>
      </c>
      <c r="AT57" s="657"/>
      <c r="AU57" s="658">
        <f>AS57+AT57</f>
        <v>100</v>
      </c>
      <c r="AV57" s="657"/>
      <c r="AW57" s="658">
        <f>AU57+AV57</f>
        <v>100</v>
      </c>
      <c r="AX57" s="657"/>
      <c r="AY57" s="658">
        <f>AW57+AX57</f>
        <v>100</v>
      </c>
      <c r="AZ57" s="657"/>
      <c r="BA57" s="658">
        <f>AY57+AZ57</f>
        <v>100</v>
      </c>
      <c r="BB57" s="657"/>
      <c r="BC57" s="659">
        <f>BA57+BB57</f>
        <v>100</v>
      </c>
    </row>
    <row r="58" spans="1:55" ht="11.1" customHeight="1">
      <c r="B58" s="651">
        <v>9</v>
      </c>
      <c r="C58" s="660" t="s">
        <v>994</v>
      </c>
      <c r="D58" s="590"/>
      <c r="E58" s="661"/>
      <c r="F58" s="662"/>
      <c r="G58" s="663"/>
      <c r="H58" s="664"/>
      <c r="I58" s="664"/>
      <c r="J58" s="664"/>
      <c r="K58" s="664"/>
      <c r="L58" s="664"/>
      <c r="M58" s="664"/>
      <c r="N58" s="664"/>
      <c r="O58" s="664"/>
      <c r="P58" s="664"/>
      <c r="Q58" s="664"/>
      <c r="R58" s="664"/>
      <c r="S58" s="665"/>
      <c r="T58" s="664"/>
      <c r="U58" s="664"/>
      <c r="V58" s="664"/>
      <c r="W58" s="664"/>
      <c r="X58" s="664"/>
      <c r="Y58" s="664"/>
      <c r="Z58" s="664"/>
      <c r="AA58" s="664"/>
      <c r="AB58" s="664"/>
      <c r="AC58" s="664"/>
      <c r="AD58" s="664"/>
      <c r="AE58" s="665"/>
      <c r="AF58" s="664"/>
      <c r="AG58" s="664"/>
      <c r="AH58" s="664"/>
      <c r="AI58" s="664"/>
      <c r="AJ58" s="664"/>
      <c r="AK58" s="664"/>
      <c r="AL58" s="664"/>
      <c r="AM58" s="664"/>
      <c r="AN58" s="664"/>
      <c r="AO58" s="664"/>
      <c r="AP58" s="664"/>
      <c r="AQ58" s="665"/>
      <c r="AR58" s="664"/>
      <c r="AS58" s="664"/>
      <c r="AT58" s="664"/>
      <c r="AU58" s="664"/>
      <c r="AV58" s="664"/>
      <c r="AW58" s="664"/>
      <c r="AX58" s="664"/>
      <c r="AY58" s="664"/>
      <c r="AZ58" s="664"/>
      <c r="BA58" s="664"/>
      <c r="BB58" s="664"/>
      <c r="BC58" s="665"/>
    </row>
    <row r="59" spans="1:55" ht="11.1" customHeight="1">
      <c r="B59" s="651" t="s">
        <v>894</v>
      </c>
      <c r="C59" s="660" t="s">
        <v>995</v>
      </c>
      <c r="D59" s="590"/>
      <c r="E59" s="654"/>
      <c r="F59" s="655"/>
      <c r="G59" s="656"/>
      <c r="H59" s="657"/>
      <c r="I59" s="658">
        <f>H59+G59</f>
        <v>0</v>
      </c>
      <c r="J59" s="657"/>
      <c r="K59" s="658">
        <f>I59+J59</f>
        <v>0</v>
      </c>
      <c r="L59" s="657"/>
      <c r="M59" s="658">
        <f>K59+L59</f>
        <v>0</v>
      </c>
      <c r="N59" s="657"/>
      <c r="O59" s="658">
        <f>M59+N59</f>
        <v>0</v>
      </c>
      <c r="P59" s="657"/>
      <c r="Q59" s="658">
        <f>O59+P59</f>
        <v>0</v>
      </c>
      <c r="R59" s="657">
        <v>100</v>
      </c>
      <c r="S59" s="659">
        <f>Q59+R59</f>
        <v>100</v>
      </c>
      <c r="T59" s="657"/>
      <c r="U59" s="658">
        <f>T59+S59</f>
        <v>100</v>
      </c>
      <c r="V59" s="657"/>
      <c r="W59" s="658">
        <f>U59+V59</f>
        <v>100</v>
      </c>
      <c r="X59" s="657"/>
      <c r="Y59" s="658">
        <f>W59+X59</f>
        <v>100</v>
      </c>
      <c r="Z59" s="657"/>
      <c r="AA59" s="658">
        <f>Y59+Z59</f>
        <v>100</v>
      </c>
      <c r="AB59" s="657"/>
      <c r="AC59" s="658">
        <f>AA59+AB59</f>
        <v>100</v>
      </c>
      <c r="AD59" s="657"/>
      <c r="AE59" s="659">
        <f>AC59+AD59</f>
        <v>100</v>
      </c>
      <c r="AF59" s="657"/>
      <c r="AG59" s="658">
        <f>AF59+AE59</f>
        <v>100</v>
      </c>
      <c r="AH59" s="657"/>
      <c r="AI59" s="658">
        <f>AG59+AH59</f>
        <v>100</v>
      </c>
      <c r="AJ59" s="657"/>
      <c r="AK59" s="658">
        <f>AI59+AJ59</f>
        <v>100</v>
      </c>
      <c r="AL59" s="657"/>
      <c r="AM59" s="658">
        <f>AK59+AL59</f>
        <v>100</v>
      </c>
      <c r="AN59" s="657"/>
      <c r="AO59" s="658">
        <f>AM59+AN59</f>
        <v>100</v>
      </c>
      <c r="AP59" s="657"/>
      <c r="AQ59" s="659">
        <f>AO59+AP59</f>
        <v>100</v>
      </c>
      <c r="AR59" s="657"/>
      <c r="AS59" s="658">
        <f>AR59+AQ59</f>
        <v>100</v>
      </c>
      <c r="AT59" s="657"/>
      <c r="AU59" s="658">
        <f>AS59+AT59</f>
        <v>100</v>
      </c>
      <c r="AV59" s="657"/>
      <c r="AW59" s="658">
        <f>AU59+AV59</f>
        <v>100</v>
      </c>
      <c r="AX59" s="657"/>
      <c r="AY59" s="658">
        <f>AW59+AX59</f>
        <v>100</v>
      </c>
      <c r="AZ59" s="657"/>
      <c r="BA59" s="658">
        <f>AY59+AZ59</f>
        <v>100</v>
      </c>
      <c r="BB59" s="657"/>
      <c r="BC59" s="659">
        <f>BA59+BB59</f>
        <v>100</v>
      </c>
    </row>
    <row r="60" spans="1:55" ht="11.1" customHeight="1">
      <c r="B60" s="651" t="s">
        <v>996</v>
      </c>
      <c r="C60" s="660" t="s">
        <v>997</v>
      </c>
      <c r="D60" s="590"/>
      <c r="E60" s="654"/>
      <c r="F60" s="655"/>
      <c r="G60" s="656"/>
      <c r="H60" s="657"/>
      <c r="I60" s="658">
        <f>H60+G60</f>
        <v>0</v>
      </c>
      <c r="J60" s="657"/>
      <c r="K60" s="658">
        <f>I60+J60</f>
        <v>0</v>
      </c>
      <c r="L60" s="657"/>
      <c r="M60" s="658">
        <f>K60+L60</f>
        <v>0</v>
      </c>
      <c r="N60" s="657"/>
      <c r="O60" s="658">
        <f>M60+N60</f>
        <v>0</v>
      </c>
      <c r="P60" s="657"/>
      <c r="Q60" s="658">
        <f>O60+P60</f>
        <v>0</v>
      </c>
      <c r="R60" s="657">
        <v>100</v>
      </c>
      <c r="S60" s="659">
        <f>Q60+R60</f>
        <v>100</v>
      </c>
      <c r="T60" s="657"/>
      <c r="U60" s="658">
        <f>T60+S60</f>
        <v>100</v>
      </c>
      <c r="V60" s="657"/>
      <c r="W60" s="658">
        <f>U60+V60</f>
        <v>100</v>
      </c>
      <c r="X60" s="657"/>
      <c r="Y60" s="658">
        <f>W60+X60</f>
        <v>100</v>
      </c>
      <c r="Z60" s="657"/>
      <c r="AA60" s="658">
        <f>Y60+Z60</f>
        <v>100</v>
      </c>
      <c r="AB60" s="657"/>
      <c r="AC60" s="658">
        <f>AA60+AB60</f>
        <v>100</v>
      </c>
      <c r="AD60" s="657"/>
      <c r="AE60" s="659">
        <f>AC60+AD60</f>
        <v>100</v>
      </c>
      <c r="AF60" s="657"/>
      <c r="AG60" s="658">
        <f>AF60+AE60</f>
        <v>100</v>
      </c>
      <c r="AH60" s="657"/>
      <c r="AI60" s="658">
        <f>AG60+AH60</f>
        <v>100</v>
      </c>
      <c r="AJ60" s="657"/>
      <c r="AK60" s="658">
        <f>AI60+AJ60</f>
        <v>100</v>
      </c>
      <c r="AL60" s="657"/>
      <c r="AM60" s="658">
        <f>AK60+AL60</f>
        <v>100</v>
      </c>
      <c r="AN60" s="657"/>
      <c r="AO60" s="658">
        <f>AM60+AN60</f>
        <v>100</v>
      </c>
      <c r="AP60" s="657"/>
      <c r="AQ60" s="659">
        <f>AO60+AP60</f>
        <v>100</v>
      </c>
      <c r="AR60" s="657"/>
      <c r="AS60" s="658">
        <f>AR60+AQ60</f>
        <v>100</v>
      </c>
      <c r="AT60" s="657"/>
      <c r="AU60" s="658">
        <f>AS60+AT60</f>
        <v>100</v>
      </c>
      <c r="AV60" s="657"/>
      <c r="AW60" s="658">
        <f>AU60+AV60</f>
        <v>100</v>
      </c>
      <c r="AX60" s="657"/>
      <c r="AY60" s="658">
        <f>AW60+AX60</f>
        <v>100</v>
      </c>
      <c r="AZ60" s="657"/>
      <c r="BA60" s="658">
        <f>AY60+AZ60</f>
        <v>100</v>
      </c>
      <c r="BB60" s="657"/>
      <c r="BC60" s="659">
        <f>BA60+BB60</f>
        <v>100</v>
      </c>
    </row>
    <row r="61" spans="1:55" ht="11.1" customHeight="1" thickBot="1">
      <c r="B61" s="668" t="s">
        <v>998</v>
      </c>
      <c r="C61" s="669" t="s">
        <v>999</v>
      </c>
      <c r="D61" s="670"/>
      <c r="E61" s="671"/>
      <c r="F61" s="672"/>
      <c r="G61" s="673"/>
      <c r="H61" s="674"/>
      <c r="I61" s="675">
        <f>H61+G61</f>
        <v>0</v>
      </c>
      <c r="J61" s="674"/>
      <c r="K61" s="675">
        <f>I61+J61</f>
        <v>0</v>
      </c>
      <c r="L61" s="674"/>
      <c r="M61" s="675">
        <f>K61+L61</f>
        <v>0</v>
      </c>
      <c r="N61" s="674"/>
      <c r="O61" s="675">
        <f>M61+N61</f>
        <v>0</v>
      </c>
      <c r="P61" s="674"/>
      <c r="Q61" s="675">
        <f>O61+P61</f>
        <v>0</v>
      </c>
      <c r="R61" s="674"/>
      <c r="S61" s="676">
        <f>Q61+R61</f>
        <v>0</v>
      </c>
      <c r="T61" s="674"/>
      <c r="U61" s="675">
        <f>T61+S61</f>
        <v>0</v>
      </c>
      <c r="V61" s="674"/>
      <c r="W61" s="675">
        <f>U61+V61</f>
        <v>0</v>
      </c>
      <c r="X61" s="674"/>
      <c r="Y61" s="675">
        <f>W61+X61</f>
        <v>0</v>
      </c>
      <c r="Z61" s="674"/>
      <c r="AA61" s="675">
        <f>Y61+Z61</f>
        <v>0</v>
      </c>
      <c r="AB61" s="674"/>
      <c r="AC61" s="675">
        <f>AA61+AB61</f>
        <v>0</v>
      </c>
      <c r="AD61" s="674"/>
      <c r="AE61" s="676">
        <f>AC61+AD61</f>
        <v>0</v>
      </c>
      <c r="AF61" s="674"/>
      <c r="AG61" s="675">
        <f>AF61+AE61</f>
        <v>0</v>
      </c>
      <c r="AH61" s="674"/>
      <c r="AI61" s="675">
        <f>AG61+AH61</f>
        <v>0</v>
      </c>
      <c r="AJ61" s="674"/>
      <c r="AK61" s="675">
        <f>AI61+AJ61</f>
        <v>0</v>
      </c>
      <c r="AL61" s="674"/>
      <c r="AM61" s="675">
        <f>AK61+AL61</f>
        <v>0</v>
      </c>
      <c r="AN61" s="674"/>
      <c r="AO61" s="675">
        <f>AM61+AN61</f>
        <v>0</v>
      </c>
      <c r="AP61" s="674"/>
      <c r="AQ61" s="676">
        <f>AO61+AP61</f>
        <v>0</v>
      </c>
      <c r="AR61" s="674"/>
      <c r="AS61" s="675">
        <f>AR61+AQ61</f>
        <v>0</v>
      </c>
      <c r="AT61" s="674"/>
      <c r="AU61" s="675">
        <f>AS61+AT61</f>
        <v>0</v>
      </c>
      <c r="AV61" s="674"/>
      <c r="AW61" s="675">
        <f>AU61+AV61</f>
        <v>0</v>
      </c>
      <c r="AX61" s="674"/>
      <c r="AY61" s="675">
        <f>AW61+AX61</f>
        <v>0</v>
      </c>
      <c r="AZ61" s="674"/>
      <c r="BA61" s="675">
        <f>AY61+AZ61</f>
        <v>0</v>
      </c>
      <c r="BB61" s="674"/>
      <c r="BC61" s="676">
        <f>BA61+BB61</f>
        <v>0</v>
      </c>
    </row>
    <row r="62" spans="1:55" ht="11.1" customHeight="1" thickBot="1">
      <c r="B62" s="677"/>
      <c r="C62" s="678"/>
      <c r="D62" s="678"/>
      <c r="E62" s="679"/>
      <c r="F62" s="680"/>
      <c r="G62" s="681"/>
      <c r="H62" s="682"/>
      <c r="I62" s="678"/>
      <c r="J62" s="682"/>
      <c r="K62" s="678"/>
      <c r="L62" s="682"/>
      <c r="M62" s="678"/>
      <c r="N62" s="682"/>
      <c r="O62" s="678"/>
      <c r="P62" s="682"/>
      <c r="Q62" s="678"/>
      <c r="R62" s="682"/>
      <c r="S62" s="678"/>
      <c r="T62" s="682"/>
      <c r="U62" s="678"/>
      <c r="V62" s="682"/>
      <c r="W62" s="678"/>
      <c r="X62" s="682"/>
      <c r="Y62" s="678"/>
      <c r="Z62" s="682"/>
      <c r="AA62" s="678"/>
      <c r="AB62" s="682"/>
      <c r="AC62" s="678"/>
      <c r="AD62" s="682"/>
      <c r="AE62" s="678"/>
      <c r="AF62" s="682"/>
      <c r="AG62" s="678"/>
      <c r="AH62" s="682"/>
      <c r="AI62" s="678"/>
      <c r="AJ62" s="682"/>
      <c r="AK62" s="678"/>
      <c r="AL62" s="682"/>
      <c r="AM62" s="678"/>
      <c r="AN62" s="682"/>
      <c r="AO62" s="678"/>
      <c r="AP62" s="682"/>
      <c r="AQ62" s="678"/>
      <c r="AR62" s="682"/>
      <c r="AS62" s="678"/>
      <c r="AT62" s="682"/>
      <c r="AU62" s="678"/>
      <c r="AV62" s="682"/>
      <c r="AW62" s="678"/>
      <c r="AX62" s="682"/>
      <c r="AY62" s="678"/>
      <c r="AZ62" s="682"/>
      <c r="BA62" s="678"/>
      <c r="BB62" s="682"/>
      <c r="BC62" s="678"/>
    </row>
    <row r="63" spans="1:55" ht="18" customHeight="1" thickBot="1">
      <c r="A63" s="683"/>
      <c r="B63" s="683" t="s">
        <v>123</v>
      </c>
      <c r="C63" s="684"/>
      <c r="D63" s="685"/>
      <c r="E63" s="686">
        <f>SUM(E24:E61)</f>
        <v>0</v>
      </c>
      <c r="F63" s="687">
        <f>SUM(F24:F61)</f>
        <v>0</v>
      </c>
      <c r="G63" s="688">
        <f>SUMPRODUCT(G24:G61,$F$24:$F$61)/100</f>
        <v>0</v>
      </c>
      <c r="H63" s="689">
        <f>SUMPRODUCT(H24:H61,$F$24:$F$61)/100</f>
        <v>0</v>
      </c>
      <c r="I63" s="690">
        <f>H63+G63</f>
        <v>0</v>
      </c>
      <c r="J63" s="689">
        <f>SUMPRODUCT(J24:J61,$F$24:$F$61)/100</f>
        <v>0</v>
      </c>
      <c r="K63" s="690">
        <f>I63+J63</f>
        <v>0</v>
      </c>
      <c r="L63" s="689">
        <f>SUMPRODUCT(L24:L61,$F$24:$F$61)/100</f>
        <v>0</v>
      </c>
      <c r="M63" s="690">
        <f>K63+L63</f>
        <v>0</v>
      </c>
      <c r="N63" s="689">
        <f>SUMPRODUCT(N24:N61,$F$24:$F$61)/100</f>
        <v>0</v>
      </c>
      <c r="O63" s="690">
        <f>M63+N63</f>
        <v>0</v>
      </c>
      <c r="P63" s="689">
        <f>SUMPRODUCT(P24:P61,$F$24:$F$61)/100</f>
        <v>0</v>
      </c>
      <c r="Q63" s="690">
        <f>O63+P63</f>
        <v>0</v>
      </c>
      <c r="R63" s="689">
        <f>SUMPRODUCT(R24:R61,$F$24:$F$61)/100</f>
        <v>0</v>
      </c>
      <c r="S63" s="691">
        <f>Q63+R63</f>
        <v>0</v>
      </c>
      <c r="T63" s="689">
        <f>SUMPRODUCT(T24:T61,$F$24:$F$61)/100</f>
        <v>0</v>
      </c>
      <c r="U63" s="690">
        <f>T63+S63</f>
        <v>0</v>
      </c>
      <c r="V63" s="689">
        <f>SUMPRODUCT(V24:V61,$F$24:$F$61)/100</f>
        <v>0</v>
      </c>
      <c r="W63" s="690">
        <f>U63+V63</f>
        <v>0</v>
      </c>
      <c r="X63" s="689">
        <f>SUMPRODUCT(X24:X61,$F$24:$F$61)/100</f>
        <v>0</v>
      </c>
      <c r="Y63" s="690">
        <f>W63+X63</f>
        <v>0</v>
      </c>
      <c r="Z63" s="689">
        <f>SUMPRODUCT(Z24:Z61,$F$24:$F$61)/100</f>
        <v>0</v>
      </c>
      <c r="AA63" s="690">
        <f>Y63+Z63</f>
        <v>0</v>
      </c>
      <c r="AB63" s="689">
        <f>SUMPRODUCT(AB24:AB61,$F$24:$F$61)/100</f>
        <v>0</v>
      </c>
      <c r="AC63" s="690">
        <f>AA63+AB63</f>
        <v>0</v>
      </c>
      <c r="AD63" s="689">
        <f>SUMPRODUCT(AD24:AD61,$F$24:$F$61)/100</f>
        <v>0</v>
      </c>
      <c r="AE63" s="691">
        <f>AC63+AD63</f>
        <v>0</v>
      </c>
      <c r="AF63" s="689">
        <f>SUMPRODUCT(AF24:AF61,$F$24:$F$61)/100</f>
        <v>0</v>
      </c>
      <c r="AG63" s="690">
        <f>AF63+AE63</f>
        <v>0</v>
      </c>
      <c r="AH63" s="689">
        <f>SUMPRODUCT(AH24:AH61,$F$24:$F$61)/100</f>
        <v>0</v>
      </c>
      <c r="AI63" s="690">
        <f>AG63+AH63</f>
        <v>0</v>
      </c>
      <c r="AJ63" s="689">
        <f>SUMPRODUCT(AJ24:AJ61,$F$24:$F$61)/100</f>
        <v>0</v>
      </c>
      <c r="AK63" s="690">
        <f>AI63+AJ63</f>
        <v>0</v>
      </c>
      <c r="AL63" s="689">
        <f>SUMPRODUCT(AL24:AL61,$F$24:$F$61)/100</f>
        <v>0</v>
      </c>
      <c r="AM63" s="690">
        <f>AK63+AL63</f>
        <v>0</v>
      </c>
      <c r="AN63" s="689">
        <f>SUMPRODUCT(AN24:AN61,$F$24:$F$61)/100</f>
        <v>0</v>
      </c>
      <c r="AO63" s="690">
        <f>AM63+AN63</f>
        <v>0</v>
      </c>
      <c r="AP63" s="689">
        <f>SUMPRODUCT(AP24:AP61,$F$24:$F$61)/100</f>
        <v>0</v>
      </c>
      <c r="AQ63" s="691">
        <f>AO63+AP63</f>
        <v>0</v>
      </c>
      <c r="AR63" s="689">
        <f>SUMPRODUCT(AR24:AR61,$F$24:$F$61)/100</f>
        <v>0</v>
      </c>
      <c r="AS63" s="690">
        <f>AR63+AQ63</f>
        <v>0</v>
      </c>
      <c r="AT63" s="689">
        <f>SUMPRODUCT(AT24:AT61,$F$24:$F$61)/100</f>
        <v>0</v>
      </c>
      <c r="AU63" s="690">
        <f>AS63+AT63</f>
        <v>0</v>
      </c>
      <c r="AV63" s="689">
        <f>SUMPRODUCT(AV24:AV61,$F$24:$F$61)/100</f>
        <v>0</v>
      </c>
      <c r="AW63" s="690">
        <f>AU63+AV63</f>
        <v>0</v>
      </c>
      <c r="AX63" s="689">
        <f>SUMPRODUCT(AX24:AX61,$F$24:$F$61)/100</f>
        <v>0</v>
      </c>
      <c r="AY63" s="690">
        <f>AW63+AX63</f>
        <v>0</v>
      </c>
      <c r="AZ63" s="689">
        <f>SUMPRODUCT(AZ24:AZ61,$F$24:$F$61)/100</f>
        <v>0</v>
      </c>
      <c r="BA63" s="690">
        <f>AY63+AZ63</f>
        <v>0</v>
      </c>
      <c r="BB63" s="689">
        <f>SUMPRODUCT(BB24:BB61,$F$24:$F$61)/100</f>
        <v>0</v>
      </c>
      <c r="BC63" s="691">
        <f>BA63+BB63</f>
        <v>0</v>
      </c>
    </row>
    <row r="64" spans="1:55" ht="14.25" customHeight="1">
      <c r="C64" s="315"/>
      <c r="F64" s="1151"/>
      <c r="G64" s="1151"/>
      <c r="H64" s="1152"/>
      <c r="I64" s="1152"/>
      <c r="J64" s="1152"/>
      <c r="K64" s="1152"/>
      <c r="L64" s="1152"/>
      <c r="M64" s="1152"/>
      <c r="N64" s="1152"/>
      <c r="O64" s="1152"/>
      <c r="P64" s="1152"/>
      <c r="Q64" s="1152"/>
      <c r="R64" s="1152"/>
      <c r="S64" s="1152"/>
      <c r="T64" s="315"/>
      <c r="U64" s="315"/>
      <c r="Z64" s="315"/>
      <c r="AA64" s="315"/>
      <c r="AB64" s="315"/>
      <c r="AF64" s="315"/>
      <c r="AG64" s="315"/>
      <c r="AL64" s="315"/>
      <c r="AM64" s="315"/>
      <c r="AN64" s="315"/>
      <c r="AR64" s="315"/>
      <c r="AS64" s="315"/>
      <c r="AX64" s="315"/>
      <c r="AY64" s="315"/>
      <c r="AZ64" s="315"/>
    </row>
    <row r="65" spans="3:55" ht="14.25" customHeight="1">
      <c r="C65" s="315"/>
      <c r="G65" s="692"/>
      <c r="H65" s="693"/>
      <c r="I65" s="692"/>
      <c r="J65" s="693"/>
      <c r="K65" s="692"/>
      <c r="L65" s="693"/>
      <c r="M65" s="692"/>
      <c r="N65" s="693"/>
      <c r="O65" s="692"/>
      <c r="P65" s="693"/>
      <c r="Q65" s="692"/>
      <c r="R65" s="693"/>
      <c r="T65" s="315"/>
      <c r="U65" s="315"/>
      <c r="Z65" s="315"/>
      <c r="AA65" s="315"/>
      <c r="AB65" s="315"/>
      <c r="AF65" s="315"/>
      <c r="AG65" s="315"/>
      <c r="AL65" s="315"/>
      <c r="AM65" s="315"/>
      <c r="AN65" s="315"/>
      <c r="AR65" s="315"/>
      <c r="AS65" s="315"/>
      <c r="AX65" s="315"/>
      <c r="AY65" s="315"/>
      <c r="AZ65" s="315"/>
    </row>
    <row r="66" spans="3:55" ht="11.1" customHeight="1">
      <c r="C66" s="694"/>
      <c r="H66" s="695"/>
      <c r="I66" s="696"/>
      <c r="J66" s="696"/>
      <c r="K66" s="696"/>
      <c r="L66" s="575"/>
      <c r="N66" s="696"/>
      <c r="O66" s="697"/>
      <c r="P66" s="592"/>
      <c r="R66" s="568" t="s">
        <v>913</v>
      </c>
      <c r="T66" s="624"/>
      <c r="U66" s="696"/>
      <c r="V66" s="696"/>
      <c r="Z66" s="592"/>
      <c r="AA66" s="592"/>
      <c r="AB66" s="592"/>
      <c r="AD66" s="568" t="s">
        <v>913</v>
      </c>
      <c r="AF66" s="698"/>
      <c r="AG66" s="696"/>
      <c r="AH66" s="696"/>
      <c r="AL66" s="592"/>
      <c r="AM66" s="592"/>
      <c r="AN66" s="592"/>
      <c r="AP66" s="568" t="s">
        <v>913</v>
      </c>
      <c r="AR66" s="698"/>
      <c r="AS66" s="696"/>
      <c r="AT66" s="696"/>
      <c r="AX66" s="592"/>
      <c r="AY66" s="592"/>
      <c r="AZ66" s="592"/>
      <c r="BB66" s="568" t="s">
        <v>913</v>
      </c>
    </row>
    <row r="67" spans="3:55">
      <c r="C67" s="699" t="s">
        <v>1000</v>
      </c>
      <c r="H67" s="700" t="s">
        <v>1001</v>
      </c>
      <c r="I67" s="569"/>
      <c r="J67" s="569"/>
      <c r="L67" s="701" t="s">
        <v>906</v>
      </c>
      <c r="M67" s="702"/>
      <c r="N67" s="703"/>
      <c r="O67" s="704"/>
      <c r="P67" s="705" t="s">
        <v>1002</v>
      </c>
      <c r="Q67" s="706"/>
      <c r="R67" s="707"/>
      <c r="T67" s="700" t="s">
        <v>1001</v>
      </c>
      <c r="U67" s="569"/>
      <c r="V67" s="569"/>
      <c r="X67" s="701" t="s">
        <v>906</v>
      </c>
      <c r="Y67" s="702"/>
      <c r="Z67" s="703"/>
      <c r="AA67" s="708"/>
      <c r="AB67" s="705" t="s">
        <v>1002</v>
      </c>
      <c r="AC67" s="706"/>
      <c r="AD67" s="707"/>
      <c r="AF67" s="700" t="s">
        <v>1001</v>
      </c>
      <c r="AG67" s="569"/>
      <c r="AH67" s="569"/>
      <c r="AJ67" s="701" t="s">
        <v>906</v>
      </c>
      <c r="AK67" s="702"/>
      <c r="AL67" s="703"/>
      <c r="AM67" s="704"/>
      <c r="AN67" s="705" t="s">
        <v>1002</v>
      </c>
      <c r="AO67" s="706"/>
      <c r="AP67" s="707"/>
      <c r="AR67" s="700" t="s">
        <v>1001</v>
      </c>
      <c r="AS67" s="569"/>
      <c r="AT67" s="569"/>
      <c r="AV67" s="701" t="s">
        <v>906</v>
      </c>
      <c r="AW67" s="702"/>
      <c r="AX67" s="703"/>
      <c r="AY67" s="704"/>
      <c r="AZ67" s="705" t="s">
        <v>1002</v>
      </c>
      <c r="BA67" s="706"/>
      <c r="BB67" s="707"/>
    </row>
    <row r="68" spans="3:55">
      <c r="G68" s="592" t="s">
        <v>907</v>
      </c>
      <c r="H68" s="709"/>
      <c r="I68" s="709"/>
      <c r="K68" s="1153"/>
      <c r="L68" s="1153"/>
      <c r="M68" s="1153"/>
      <c r="N68" s="1153"/>
      <c r="O68" s="592"/>
      <c r="P68" s="592"/>
      <c r="T68" s="592" t="s">
        <v>907</v>
      </c>
      <c r="U68" s="1154"/>
      <c r="V68" s="1154"/>
      <c r="W68" s="315"/>
      <c r="X68" s="568">
        <f>+K68</f>
        <v>0</v>
      </c>
      <c r="Y68" s="315"/>
      <c r="Z68" s="315"/>
      <c r="AA68" s="315"/>
      <c r="AB68" s="315"/>
      <c r="AC68" s="315"/>
      <c r="AD68" s="315"/>
      <c r="AE68" s="315"/>
      <c r="AF68" s="568" t="str">
        <f t="shared" ref="AF68:AG70" si="49">+T68</f>
        <v>Engº Civil</v>
      </c>
      <c r="AG68" s="568">
        <f t="shared" si="49"/>
        <v>0</v>
      </c>
      <c r="AH68" s="315"/>
      <c r="AI68" s="315"/>
      <c r="AJ68" s="568">
        <f>+X68</f>
        <v>0</v>
      </c>
      <c r="AK68" s="315"/>
      <c r="AL68" s="315"/>
      <c r="AM68" s="315"/>
      <c r="AN68" s="315"/>
      <c r="AO68" s="315"/>
      <c r="AP68" s="315"/>
      <c r="AQ68" s="315"/>
      <c r="AR68" s="568" t="str">
        <f t="shared" ref="AR68:AS70" si="50">+AF68</f>
        <v>Engº Civil</v>
      </c>
      <c r="AS68" s="568">
        <f t="shared" si="50"/>
        <v>0</v>
      </c>
      <c r="AT68" s="315"/>
      <c r="AU68" s="315"/>
      <c r="AV68" s="568">
        <f>+AJ68</f>
        <v>0</v>
      </c>
      <c r="AW68" s="315"/>
      <c r="AX68" s="315"/>
      <c r="AY68" s="315"/>
      <c r="AZ68" s="315"/>
      <c r="BA68" s="315"/>
      <c r="BB68" s="315"/>
      <c r="BC68" s="315"/>
    </row>
    <row r="69" spans="3:55">
      <c r="G69" s="568" t="s">
        <v>1003</v>
      </c>
      <c r="H69" s="710"/>
      <c r="I69" s="710"/>
      <c r="K69" s="1153"/>
      <c r="L69" s="1153"/>
      <c r="M69" s="1153"/>
      <c r="N69" s="1153"/>
      <c r="T69" s="568" t="s">
        <v>1003</v>
      </c>
      <c r="U69" s="1148"/>
      <c r="V69" s="1148"/>
      <c r="W69" s="315"/>
      <c r="X69" s="315"/>
      <c r="Y69" s="315"/>
      <c r="Z69" s="315"/>
      <c r="AA69" s="315"/>
      <c r="AB69" s="315"/>
      <c r="AC69" s="315"/>
      <c r="AD69" s="315"/>
      <c r="AE69" s="315"/>
      <c r="AF69" s="568" t="str">
        <f t="shared" si="49"/>
        <v>CREA/SP</v>
      </c>
      <c r="AG69" s="568">
        <f t="shared" si="49"/>
        <v>0</v>
      </c>
      <c r="AR69" s="568" t="str">
        <f t="shared" si="50"/>
        <v>CREA/SP</v>
      </c>
      <c r="AS69" s="568">
        <f t="shared" si="50"/>
        <v>0</v>
      </c>
    </row>
    <row r="70" spans="3:55">
      <c r="G70" s="568" t="s">
        <v>909</v>
      </c>
      <c r="H70" s="710"/>
      <c r="I70" s="710"/>
      <c r="T70" s="568" t="s">
        <v>909</v>
      </c>
      <c r="U70" s="1148"/>
      <c r="V70" s="1148"/>
      <c r="AF70" s="568" t="str">
        <f t="shared" si="49"/>
        <v>CPF nº</v>
      </c>
      <c r="AG70" s="568">
        <f t="shared" si="49"/>
        <v>0</v>
      </c>
      <c r="AR70" s="568" t="str">
        <f t="shared" si="50"/>
        <v>CPF nº</v>
      </c>
      <c r="AS70" s="568">
        <f t="shared" si="50"/>
        <v>0</v>
      </c>
    </row>
  </sheetData>
  <mergeCells count="13">
    <mergeCell ref="U70:V70"/>
    <mergeCell ref="K17:L17"/>
    <mergeCell ref="N17:O17"/>
    <mergeCell ref="F64:G64"/>
    <mergeCell ref="H64:I64"/>
    <mergeCell ref="J64:K64"/>
    <mergeCell ref="L64:M64"/>
    <mergeCell ref="N64:O64"/>
    <mergeCell ref="P64:Q64"/>
    <mergeCell ref="R64:S64"/>
    <mergeCell ref="K68:N69"/>
    <mergeCell ref="U68:V68"/>
    <mergeCell ref="U69:V69"/>
  </mergeCells>
  <printOptions horizontalCentered="1" verticalCentered="1"/>
  <pageMargins left="0.78740157480314965" right="0.27559055118110237" top="0.48" bottom="0.5" header="0.34" footer="0.19685039370078741"/>
  <pageSetup paperSize="9" scale="70" orientation="landscape" horizontalDpi="300" r:id="rId1"/>
  <headerFooter alignWithMargins="0">
    <oddFooter xml:space="preserve">MO 41.158 - Proponente - Unidade Isolada - Especificação, Orçamento, Cronograma </oddFooter>
  </headerFooter>
  <colBreaks count="3" manualBreakCount="3">
    <brk id="19" max="1048575" man="1"/>
    <brk id="31" max="1048575" man="1"/>
    <brk id="43" max="1048575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F0"/>
  </sheetPr>
  <dimension ref="A1:BU360"/>
  <sheetViews>
    <sheetView showGridLines="0" view="pageBreakPreview" zoomScaleNormal="100" zoomScaleSheetLayoutView="100" workbookViewId="0">
      <selection activeCell="C73" sqref="C73:E73"/>
    </sheetView>
  </sheetViews>
  <sheetFormatPr defaultColWidth="11.42578125" defaultRowHeight="12.75"/>
  <cols>
    <col min="1" max="1" width="0.85546875" style="315" customWidth="1"/>
    <col min="2" max="2" width="3.28515625" style="315" customWidth="1"/>
    <col min="3" max="4" width="3.7109375" style="315" customWidth="1"/>
    <col min="5" max="5" width="4" style="315" customWidth="1"/>
    <col min="6" max="6" width="0.5703125" style="315" customWidth="1"/>
    <col min="7" max="7" width="2.85546875" style="315" customWidth="1"/>
    <col min="8" max="8" width="3.42578125" style="315" customWidth="1"/>
    <col min="9" max="9" width="3.7109375" style="315" customWidth="1"/>
    <col min="10" max="10" width="3.5703125" style="315" customWidth="1"/>
    <col min="11" max="11" width="0.42578125" style="315" customWidth="1"/>
    <col min="12" max="12" width="4.28515625" style="315" customWidth="1"/>
    <col min="13" max="13" width="3.42578125" style="315" customWidth="1"/>
    <col min="14" max="14" width="0.42578125" style="315" customWidth="1"/>
    <col min="15" max="15" width="3.42578125" style="315" customWidth="1"/>
    <col min="16" max="16" width="0.42578125" style="315" customWidth="1"/>
    <col min="17" max="17" width="10.7109375" style="315" customWidth="1"/>
    <col min="18" max="18" width="4.5703125" style="315" customWidth="1"/>
    <col min="19" max="19" width="3.28515625" style="315" customWidth="1"/>
    <col min="20" max="20" width="0.5703125" style="315" customWidth="1"/>
    <col min="21" max="21" width="3.5703125" style="315" customWidth="1"/>
    <col min="22" max="22" width="11.5703125" style="315" customWidth="1"/>
    <col min="23" max="23" width="3.42578125" style="315" customWidth="1"/>
    <col min="24" max="24" width="0.5703125" style="315" customWidth="1"/>
    <col min="25" max="25" width="15.85546875" style="315" customWidth="1"/>
    <col min="26" max="73" width="11.42578125" style="723" customWidth="1"/>
    <col min="74" max="256" width="11.42578125" style="315"/>
    <col min="257" max="257" width="0.85546875" style="315" customWidth="1"/>
    <col min="258" max="258" width="3.28515625" style="315" customWidth="1"/>
    <col min="259" max="260" width="3.7109375" style="315" customWidth="1"/>
    <col min="261" max="261" width="4" style="315" customWidth="1"/>
    <col min="262" max="262" width="0.5703125" style="315" customWidth="1"/>
    <col min="263" max="263" width="2.85546875" style="315" customWidth="1"/>
    <col min="264" max="264" width="3.42578125" style="315" customWidth="1"/>
    <col min="265" max="265" width="3.7109375" style="315" customWidth="1"/>
    <col min="266" max="266" width="3.5703125" style="315" customWidth="1"/>
    <col min="267" max="267" width="0.42578125" style="315" customWidth="1"/>
    <col min="268" max="268" width="4.28515625" style="315" customWidth="1"/>
    <col min="269" max="269" width="3.42578125" style="315" customWidth="1"/>
    <col min="270" max="270" width="0.42578125" style="315" customWidth="1"/>
    <col min="271" max="271" width="3.42578125" style="315" customWidth="1"/>
    <col min="272" max="272" width="0.42578125" style="315" customWidth="1"/>
    <col min="273" max="273" width="10.7109375" style="315" customWidth="1"/>
    <col min="274" max="274" width="4.5703125" style="315" customWidth="1"/>
    <col min="275" max="275" width="3.28515625" style="315" customWidth="1"/>
    <col min="276" max="276" width="0.5703125" style="315" customWidth="1"/>
    <col min="277" max="277" width="3.5703125" style="315" customWidth="1"/>
    <col min="278" max="278" width="11.5703125" style="315" customWidth="1"/>
    <col min="279" max="279" width="3.42578125" style="315" customWidth="1"/>
    <col min="280" max="280" width="0.5703125" style="315" customWidth="1"/>
    <col min="281" max="281" width="15.85546875" style="315" customWidth="1"/>
    <col min="282" max="329" width="11.42578125" style="315" customWidth="1"/>
    <col min="330" max="512" width="11.42578125" style="315"/>
    <col min="513" max="513" width="0.85546875" style="315" customWidth="1"/>
    <col min="514" max="514" width="3.28515625" style="315" customWidth="1"/>
    <col min="515" max="516" width="3.7109375" style="315" customWidth="1"/>
    <col min="517" max="517" width="4" style="315" customWidth="1"/>
    <col min="518" max="518" width="0.5703125" style="315" customWidth="1"/>
    <col min="519" max="519" width="2.85546875" style="315" customWidth="1"/>
    <col min="520" max="520" width="3.42578125" style="315" customWidth="1"/>
    <col min="521" max="521" width="3.7109375" style="315" customWidth="1"/>
    <col min="522" max="522" width="3.5703125" style="315" customWidth="1"/>
    <col min="523" max="523" width="0.42578125" style="315" customWidth="1"/>
    <col min="524" max="524" width="4.28515625" style="315" customWidth="1"/>
    <col min="525" max="525" width="3.42578125" style="315" customWidth="1"/>
    <col min="526" max="526" width="0.42578125" style="315" customWidth="1"/>
    <col min="527" max="527" width="3.42578125" style="315" customWidth="1"/>
    <col min="528" max="528" width="0.42578125" style="315" customWidth="1"/>
    <col min="529" max="529" width="10.7109375" style="315" customWidth="1"/>
    <col min="530" max="530" width="4.5703125" style="315" customWidth="1"/>
    <col min="531" max="531" width="3.28515625" style="315" customWidth="1"/>
    <col min="532" max="532" width="0.5703125" style="315" customWidth="1"/>
    <col min="533" max="533" width="3.5703125" style="315" customWidth="1"/>
    <col min="534" max="534" width="11.5703125" style="315" customWidth="1"/>
    <col min="535" max="535" width="3.42578125" style="315" customWidth="1"/>
    <col min="536" max="536" width="0.5703125" style="315" customWidth="1"/>
    <col min="537" max="537" width="15.85546875" style="315" customWidth="1"/>
    <col min="538" max="585" width="11.42578125" style="315" customWidth="1"/>
    <col min="586" max="768" width="11.42578125" style="315"/>
    <col min="769" max="769" width="0.85546875" style="315" customWidth="1"/>
    <col min="770" max="770" width="3.28515625" style="315" customWidth="1"/>
    <col min="771" max="772" width="3.7109375" style="315" customWidth="1"/>
    <col min="773" max="773" width="4" style="315" customWidth="1"/>
    <col min="774" max="774" width="0.5703125" style="315" customWidth="1"/>
    <col min="775" max="775" width="2.85546875" style="315" customWidth="1"/>
    <col min="776" max="776" width="3.42578125" style="315" customWidth="1"/>
    <col min="777" max="777" width="3.7109375" style="315" customWidth="1"/>
    <col min="778" max="778" width="3.5703125" style="315" customWidth="1"/>
    <col min="779" max="779" width="0.42578125" style="315" customWidth="1"/>
    <col min="780" max="780" width="4.28515625" style="315" customWidth="1"/>
    <col min="781" max="781" width="3.42578125" style="315" customWidth="1"/>
    <col min="782" max="782" width="0.42578125" style="315" customWidth="1"/>
    <col min="783" max="783" width="3.42578125" style="315" customWidth="1"/>
    <col min="784" max="784" width="0.42578125" style="315" customWidth="1"/>
    <col min="785" max="785" width="10.7109375" style="315" customWidth="1"/>
    <col min="786" max="786" width="4.5703125" style="315" customWidth="1"/>
    <col min="787" max="787" width="3.28515625" style="315" customWidth="1"/>
    <col min="788" max="788" width="0.5703125" style="315" customWidth="1"/>
    <col min="789" max="789" width="3.5703125" style="315" customWidth="1"/>
    <col min="790" max="790" width="11.5703125" style="315" customWidth="1"/>
    <col min="791" max="791" width="3.42578125" style="315" customWidth="1"/>
    <col min="792" max="792" width="0.5703125" style="315" customWidth="1"/>
    <col min="793" max="793" width="15.85546875" style="315" customWidth="1"/>
    <col min="794" max="841" width="11.42578125" style="315" customWidth="1"/>
    <col min="842" max="1024" width="11.42578125" style="315"/>
    <col min="1025" max="1025" width="0.85546875" style="315" customWidth="1"/>
    <col min="1026" max="1026" width="3.28515625" style="315" customWidth="1"/>
    <col min="1027" max="1028" width="3.7109375" style="315" customWidth="1"/>
    <col min="1029" max="1029" width="4" style="315" customWidth="1"/>
    <col min="1030" max="1030" width="0.5703125" style="315" customWidth="1"/>
    <col min="1031" max="1031" width="2.85546875" style="315" customWidth="1"/>
    <col min="1032" max="1032" width="3.42578125" style="315" customWidth="1"/>
    <col min="1033" max="1033" width="3.7109375" style="315" customWidth="1"/>
    <col min="1034" max="1034" width="3.5703125" style="315" customWidth="1"/>
    <col min="1035" max="1035" width="0.42578125" style="315" customWidth="1"/>
    <col min="1036" max="1036" width="4.28515625" style="315" customWidth="1"/>
    <col min="1037" max="1037" width="3.42578125" style="315" customWidth="1"/>
    <col min="1038" max="1038" width="0.42578125" style="315" customWidth="1"/>
    <col min="1039" max="1039" width="3.42578125" style="315" customWidth="1"/>
    <col min="1040" max="1040" width="0.42578125" style="315" customWidth="1"/>
    <col min="1041" max="1041" width="10.7109375" style="315" customWidth="1"/>
    <col min="1042" max="1042" width="4.5703125" style="315" customWidth="1"/>
    <col min="1043" max="1043" width="3.28515625" style="315" customWidth="1"/>
    <col min="1044" max="1044" width="0.5703125" style="315" customWidth="1"/>
    <col min="1045" max="1045" width="3.5703125" style="315" customWidth="1"/>
    <col min="1046" max="1046" width="11.5703125" style="315" customWidth="1"/>
    <col min="1047" max="1047" width="3.42578125" style="315" customWidth="1"/>
    <col min="1048" max="1048" width="0.5703125" style="315" customWidth="1"/>
    <col min="1049" max="1049" width="15.85546875" style="315" customWidth="1"/>
    <col min="1050" max="1097" width="11.42578125" style="315" customWidth="1"/>
    <col min="1098" max="1280" width="11.42578125" style="315"/>
    <col min="1281" max="1281" width="0.85546875" style="315" customWidth="1"/>
    <col min="1282" max="1282" width="3.28515625" style="315" customWidth="1"/>
    <col min="1283" max="1284" width="3.7109375" style="315" customWidth="1"/>
    <col min="1285" max="1285" width="4" style="315" customWidth="1"/>
    <col min="1286" max="1286" width="0.5703125" style="315" customWidth="1"/>
    <col min="1287" max="1287" width="2.85546875" style="315" customWidth="1"/>
    <col min="1288" max="1288" width="3.42578125" style="315" customWidth="1"/>
    <col min="1289" max="1289" width="3.7109375" style="315" customWidth="1"/>
    <col min="1290" max="1290" width="3.5703125" style="315" customWidth="1"/>
    <col min="1291" max="1291" width="0.42578125" style="315" customWidth="1"/>
    <col min="1292" max="1292" width="4.28515625" style="315" customWidth="1"/>
    <col min="1293" max="1293" width="3.42578125" style="315" customWidth="1"/>
    <col min="1294" max="1294" width="0.42578125" style="315" customWidth="1"/>
    <col min="1295" max="1295" width="3.42578125" style="315" customWidth="1"/>
    <col min="1296" max="1296" width="0.42578125" style="315" customWidth="1"/>
    <col min="1297" max="1297" width="10.7109375" style="315" customWidth="1"/>
    <col min="1298" max="1298" width="4.5703125" style="315" customWidth="1"/>
    <col min="1299" max="1299" width="3.28515625" style="315" customWidth="1"/>
    <col min="1300" max="1300" width="0.5703125" style="315" customWidth="1"/>
    <col min="1301" max="1301" width="3.5703125" style="315" customWidth="1"/>
    <col min="1302" max="1302" width="11.5703125" style="315" customWidth="1"/>
    <col min="1303" max="1303" width="3.42578125" style="315" customWidth="1"/>
    <col min="1304" max="1304" width="0.5703125" style="315" customWidth="1"/>
    <col min="1305" max="1305" width="15.85546875" style="315" customWidth="1"/>
    <col min="1306" max="1353" width="11.42578125" style="315" customWidth="1"/>
    <col min="1354" max="1536" width="11.42578125" style="315"/>
    <col min="1537" max="1537" width="0.85546875" style="315" customWidth="1"/>
    <col min="1538" max="1538" width="3.28515625" style="315" customWidth="1"/>
    <col min="1539" max="1540" width="3.7109375" style="315" customWidth="1"/>
    <col min="1541" max="1541" width="4" style="315" customWidth="1"/>
    <col min="1542" max="1542" width="0.5703125" style="315" customWidth="1"/>
    <col min="1543" max="1543" width="2.85546875" style="315" customWidth="1"/>
    <col min="1544" max="1544" width="3.42578125" style="315" customWidth="1"/>
    <col min="1545" max="1545" width="3.7109375" style="315" customWidth="1"/>
    <col min="1546" max="1546" width="3.5703125" style="315" customWidth="1"/>
    <col min="1547" max="1547" width="0.42578125" style="315" customWidth="1"/>
    <col min="1548" max="1548" width="4.28515625" style="315" customWidth="1"/>
    <col min="1549" max="1549" width="3.42578125" style="315" customWidth="1"/>
    <col min="1550" max="1550" width="0.42578125" style="315" customWidth="1"/>
    <col min="1551" max="1551" width="3.42578125" style="315" customWidth="1"/>
    <col min="1552" max="1552" width="0.42578125" style="315" customWidth="1"/>
    <col min="1553" max="1553" width="10.7109375" style="315" customWidth="1"/>
    <col min="1554" max="1554" width="4.5703125" style="315" customWidth="1"/>
    <col min="1555" max="1555" width="3.28515625" style="315" customWidth="1"/>
    <col min="1556" max="1556" width="0.5703125" style="315" customWidth="1"/>
    <col min="1557" max="1557" width="3.5703125" style="315" customWidth="1"/>
    <col min="1558" max="1558" width="11.5703125" style="315" customWidth="1"/>
    <col min="1559" max="1559" width="3.42578125" style="315" customWidth="1"/>
    <col min="1560" max="1560" width="0.5703125" style="315" customWidth="1"/>
    <col min="1561" max="1561" width="15.85546875" style="315" customWidth="1"/>
    <col min="1562" max="1609" width="11.42578125" style="315" customWidth="1"/>
    <col min="1610" max="1792" width="11.42578125" style="315"/>
    <col min="1793" max="1793" width="0.85546875" style="315" customWidth="1"/>
    <col min="1794" max="1794" width="3.28515625" style="315" customWidth="1"/>
    <col min="1795" max="1796" width="3.7109375" style="315" customWidth="1"/>
    <col min="1797" max="1797" width="4" style="315" customWidth="1"/>
    <col min="1798" max="1798" width="0.5703125" style="315" customWidth="1"/>
    <col min="1799" max="1799" width="2.85546875" style="315" customWidth="1"/>
    <col min="1800" max="1800" width="3.42578125" style="315" customWidth="1"/>
    <col min="1801" max="1801" width="3.7109375" style="315" customWidth="1"/>
    <col min="1802" max="1802" width="3.5703125" style="315" customWidth="1"/>
    <col min="1803" max="1803" width="0.42578125" style="315" customWidth="1"/>
    <col min="1804" max="1804" width="4.28515625" style="315" customWidth="1"/>
    <col min="1805" max="1805" width="3.42578125" style="315" customWidth="1"/>
    <col min="1806" max="1806" width="0.42578125" style="315" customWidth="1"/>
    <col min="1807" max="1807" width="3.42578125" style="315" customWidth="1"/>
    <col min="1808" max="1808" width="0.42578125" style="315" customWidth="1"/>
    <col min="1809" max="1809" width="10.7109375" style="315" customWidth="1"/>
    <col min="1810" max="1810" width="4.5703125" style="315" customWidth="1"/>
    <col min="1811" max="1811" width="3.28515625" style="315" customWidth="1"/>
    <col min="1812" max="1812" width="0.5703125" style="315" customWidth="1"/>
    <col min="1813" max="1813" width="3.5703125" style="315" customWidth="1"/>
    <col min="1814" max="1814" width="11.5703125" style="315" customWidth="1"/>
    <col min="1815" max="1815" width="3.42578125" style="315" customWidth="1"/>
    <col min="1816" max="1816" width="0.5703125" style="315" customWidth="1"/>
    <col min="1817" max="1817" width="15.85546875" style="315" customWidth="1"/>
    <col min="1818" max="1865" width="11.42578125" style="315" customWidth="1"/>
    <col min="1866" max="2048" width="11.42578125" style="315"/>
    <col min="2049" max="2049" width="0.85546875" style="315" customWidth="1"/>
    <col min="2050" max="2050" width="3.28515625" style="315" customWidth="1"/>
    <col min="2051" max="2052" width="3.7109375" style="315" customWidth="1"/>
    <col min="2053" max="2053" width="4" style="315" customWidth="1"/>
    <col min="2054" max="2054" width="0.5703125" style="315" customWidth="1"/>
    <col min="2055" max="2055" width="2.85546875" style="315" customWidth="1"/>
    <col min="2056" max="2056" width="3.42578125" style="315" customWidth="1"/>
    <col min="2057" max="2057" width="3.7109375" style="315" customWidth="1"/>
    <col min="2058" max="2058" width="3.5703125" style="315" customWidth="1"/>
    <col min="2059" max="2059" width="0.42578125" style="315" customWidth="1"/>
    <col min="2060" max="2060" width="4.28515625" style="315" customWidth="1"/>
    <col min="2061" max="2061" width="3.42578125" style="315" customWidth="1"/>
    <col min="2062" max="2062" width="0.42578125" style="315" customWidth="1"/>
    <col min="2063" max="2063" width="3.42578125" style="315" customWidth="1"/>
    <col min="2064" max="2064" width="0.42578125" style="315" customWidth="1"/>
    <col min="2065" max="2065" width="10.7109375" style="315" customWidth="1"/>
    <col min="2066" max="2066" width="4.5703125" style="315" customWidth="1"/>
    <col min="2067" max="2067" width="3.28515625" style="315" customWidth="1"/>
    <col min="2068" max="2068" width="0.5703125" style="315" customWidth="1"/>
    <col min="2069" max="2069" width="3.5703125" style="315" customWidth="1"/>
    <col min="2070" max="2070" width="11.5703125" style="315" customWidth="1"/>
    <col min="2071" max="2071" width="3.42578125" style="315" customWidth="1"/>
    <col min="2072" max="2072" width="0.5703125" style="315" customWidth="1"/>
    <col min="2073" max="2073" width="15.85546875" style="315" customWidth="1"/>
    <col min="2074" max="2121" width="11.42578125" style="315" customWidth="1"/>
    <col min="2122" max="2304" width="11.42578125" style="315"/>
    <col min="2305" max="2305" width="0.85546875" style="315" customWidth="1"/>
    <col min="2306" max="2306" width="3.28515625" style="315" customWidth="1"/>
    <col min="2307" max="2308" width="3.7109375" style="315" customWidth="1"/>
    <col min="2309" max="2309" width="4" style="315" customWidth="1"/>
    <col min="2310" max="2310" width="0.5703125" style="315" customWidth="1"/>
    <col min="2311" max="2311" width="2.85546875" style="315" customWidth="1"/>
    <col min="2312" max="2312" width="3.42578125" style="315" customWidth="1"/>
    <col min="2313" max="2313" width="3.7109375" style="315" customWidth="1"/>
    <col min="2314" max="2314" width="3.5703125" style="315" customWidth="1"/>
    <col min="2315" max="2315" width="0.42578125" style="315" customWidth="1"/>
    <col min="2316" max="2316" width="4.28515625" style="315" customWidth="1"/>
    <col min="2317" max="2317" width="3.42578125" style="315" customWidth="1"/>
    <col min="2318" max="2318" width="0.42578125" style="315" customWidth="1"/>
    <col min="2319" max="2319" width="3.42578125" style="315" customWidth="1"/>
    <col min="2320" max="2320" width="0.42578125" style="315" customWidth="1"/>
    <col min="2321" max="2321" width="10.7109375" style="315" customWidth="1"/>
    <col min="2322" max="2322" width="4.5703125" style="315" customWidth="1"/>
    <col min="2323" max="2323" width="3.28515625" style="315" customWidth="1"/>
    <col min="2324" max="2324" width="0.5703125" style="315" customWidth="1"/>
    <col min="2325" max="2325" width="3.5703125" style="315" customWidth="1"/>
    <col min="2326" max="2326" width="11.5703125" style="315" customWidth="1"/>
    <col min="2327" max="2327" width="3.42578125" style="315" customWidth="1"/>
    <col min="2328" max="2328" width="0.5703125" style="315" customWidth="1"/>
    <col min="2329" max="2329" width="15.85546875" style="315" customWidth="1"/>
    <col min="2330" max="2377" width="11.42578125" style="315" customWidth="1"/>
    <col min="2378" max="2560" width="11.42578125" style="315"/>
    <col min="2561" max="2561" width="0.85546875" style="315" customWidth="1"/>
    <col min="2562" max="2562" width="3.28515625" style="315" customWidth="1"/>
    <col min="2563" max="2564" width="3.7109375" style="315" customWidth="1"/>
    <col min="2565" max="2565" width="4" style="315" customWidth="1"/>
    <col min="2566" max="2566" width="0.5703125" style="315" customWidth="1"/>
    <col min="2567" max="2567" width="2.85546875" style="315" customWidth="1"/>
    <col min="2568" max="2568" width="3.42578125" style="315" customWidth="1"/>
    <col min="2569" max="2569" width="3.7109375" style="315" customWidth="1"/>
    <col min="2570" max="2570" width="3.5703125" style="315" customWidth="1"/>
    <col min="2571" max="2571" width="0.42578125" style="315" customWidth="1"/>
    <col min="2572" max="2572" width="4.28515625" style="315" customWidth="1"/>
    <col min="2573" max="2573" width="3.42578125" style="315" customWidth="1"/>
    <col min="2574" max="2574" width="0.42578125" style="315" customWidth="1"/>
    <col min="2575" max="2575" width="3.42578125" style="315" customWidth="1"/>
    <col min="2576" max="2576" width="0.42578125" style="315" customWidth="1"/>
    <col min="2577" max="2577" width="10.7109375" style="315" customWidth="1"/>
    <col min="2578" max="2578" width="4.5703125" style="315" customWidth="1"/>
    <col min="2579" max="2579" width="3.28515625" style="315" customWidth="1"/>
    <col min="2580" max="2580" width="0.5703125" style="315" customWidth="1"/>
    <col min="2581" max="2581" width="3.5703125" style="315" customWidth="1"/>
    <col min="2582" max="2582" width="11.5703125" style="315" customWidth="1"/>
    <col min="2583" max="2583" width="3.42578125" style="315" customWidth="1"/>
    <col min="2584" max="2584" width="0.5703125" style="315" customWidth="1"/>
    <col min="2585" max="2585" width="15.85546875" style="315" customWidth="1"/>
    <col min="2586" max="2633" width="11.42578125" style="315" customWidth="1"/>
    <col min="2634" max="2816" width="11.42578125" style="315"/>
    <col min="2817" max="2817" width="0.85546875" style="315" customWidth="1"/>
    <col min="2818" max="2818" width="3.28515625" style="315" customWidth="1"/>
    <col min="2819" max="2820" width="3.7109375" style="315" customWidth="1"/>
    <col min="2821" max="2821" width="4" style="315" customWidth="1"/>
    <col min="2822" max="2822" width="0.5703125" style="315" customWidth="1"/>
    <col min="2823" max="2823" width="2.85546875" style="315" customWidth="1"/>
    <col min="2824" max="2824" width="3.42578125" style="315" customWidth="1"/>
    <col min="2825" max="2825" width="3.7109375" style="315" customWidth="1"/>
    <col min="2826" max="2826" width="3.5703125" style="315" customWidth="1"/>
    <col min="2827" max="2827" width="0.42578125" style="315" customWidth="1"/>
    <col min="2828" max="2828" width="4.28515625" style="315" customWidth="1"/>
    <col min="2829" max="2829" width="3.42578125" style="315" customWidth="1"/>
    <col min="2830" max="2830" width="0.42578125" style="315" customWidth="1"/>
    <col min="2831" max="2831" width="3.42578125" style="315" customWidth="1"/>
    <col min="2832" max="2832" width="0.42578125" style="315" customWidth="1"/>
    <col min="2833" max="2833" width="10.7109375" style="315" customWidth="1"/>
    <col min="2834" max="2834" width="4.5703125" style="315" customWidth="1"/>
    <col min="2835" max="2835" width="3.28515625" style="315" customWidth="1"/>
    <col min="2836" max="2836" width="0.5703125" style="315" customWidth="1"/>
    <col min="2837" max="2837" width="3.5703125" style="315" customWidth="1"/>
    <col min="2838" max="2838" width="11.5703125" style="315" customWidth="1"/>
    <col min="2839" max="2839" width="3.42578125" style="315" customWidth="1"/>
    <col min="2840" max="2840" width="0.5703125" style="315" customWidth="1"/>
    <col min="2841" max="2841" width="15.85546875" style="315" customWidth="1"/>
    <col min="2842" max="2889" width="11.42578125" style="315" customWidth="1"/>
    <col min="2890" max="3072" width="11.42578125" style="315"/>
    <col min="3073" max="3073" width="0.85546875" style="315" customWidth="1"/>
    <col min="3074" max="3074" width="3.28515625" style="315" customWidth="1"/>
    <col min="3075" max="3076" width="3.7109375" style="315" customWidth="1"/>
    <col min="3077" max="3077" width="4" style="315" customWidth="1"/>
    <col min="3078" max="3078" width="0.5703125" style="315" customWidth="1"/>
    <col min="3079" max="3079" width="2.85546875" style="315" customWidth="1"/>
    <col min="3080" max="3080" width="3.42578125" style="315" customWidth="1"/>
    <col min="3081" max="3081" width="3.7109375" style="315" customWidth="1"/>
    <col min="3082" max="3082" width="3.5703125" style="315" customWidth="1"/>
    <col min="3083" max="3083" width="0.42578125" style="315" customWidth="1"/>
    <col min="3084" max="3084" width="4.28515625" style="315" customWidth="1"/>
    <col min="3085" max="3085" width="3.42578125" style="315" customWidth="1"/>
    <col min="3086" max="3086" width="0.42578125" style="315" customWidth="1"/>
    <col min="3087" max="3087" width="3.42578125" style="315" customWidth="1"/>
    <col min="3088" max="3088" width="0.42578125" style="315" customWidth="1"/>
    <col min="3089" max="3089" width="10.7109375" style="315" customWidth="1"/>
    <col min="3090" max="3090" width="4.5703125" style="315" customWidth="1"/>
    <col min="3091" max="3091" width="3.28515625" style="315" customWidth="1"/>
    <col min="3092" max="3092" width="0.5703125" style="315" customWidth="1"/>
    <col min="3093" max="3093" width="3.5703125" style="315" customWidth="1"/>
    <col min="3094" max="3094" width="11.5703125" style="315" customWidth="1"/>
    <col min="3095" max="3095" width="3.42578125" style="315" customWidth="1"/>
    <col min="3096" max="3096" width="0.5703125" style="315" customWidth="1"/>
    <col min="3097" max="3097" width="15.85546875" style="315" customWidth="1"/>
    <col min="3098" max="3145" width="11.42578125" style="315" customWidth="1"/>
    <col min="3146" max="3328" width="11.42578125" style="315"/>
    <col min="3329" max="3329" width="0.85546875" style="315" customWidth="1"/>
    <col min="3330" max="3330" width="3.28515625" style="315" customWidth="1"/>
    <col min="3331" max="3332" width="3.7109375" style="315" customWidth="1"/>
    <col min="3333" max="3333" width="4" style="315" customWidth="1"/>
    <col min="3334" max="3334" width="0.5703125" style="315" customWidth="1"/>
    <col min="3335" max="3335" width="2.85546875" style="315" customWidth="1"/>
    <col min="3336" max="3336" width="3.42578125" style="315" customWidth="1"/>
    <col min="3337" max="3337" width="3.7109375" style="315" customWidth="1"/>
    <col min="3338" max="3338" width="3.5703125" style="315" customWidth="1"/>
    <col min="3339" max="3339" width="0.42578125" style="315" customWidth="1"/>
    <col min="3340" max="3340" width="4.28515625" style="315" customWidth="1"/>
    <col min="3341" max="3341" width="3.42578125" style="315" customWidth="1"/>
    <col min="3342" max="3342" width="0.42578125" style="315" customWidth="1"/>
    <col min="3343" max="3343" width="3.42578125" style="315" customWidth="1"/>
    <col min="3344" max="3344" width="0.42578125" style="315" customWidth="1"/>
    <col min="3345" max="3345" width="10.7109375" style="315" customWidth="1"/>
    <col min="3346" max="3346" width="4.5703125" style="315" customWidth="1"/>
    <col min="3347" max="3347" width="3.28515625" style="315" customWidth="1"/>
    <col min="3348" max="3348" width="0.5703125" style="315" customWidth="1"/>
    <col min="3349" max="3349" width="3.5703125" style="315" customWidth="1"/>
    <col min="3350" max="3350" width="11.5703125" style="315" customWidth="1"/>
    <col min="3351" max="3351" width="3.42578125" style="315" customWidth="1"/>
    <col min="3352" max="3352" width="0.5703125" style="315" customWidth="1"/>
    <col min="3353" max="3353" width="15.85546875" style="315" customWidth="1"/>
    <col min="3354" max="3401" width="11.42578125" style="315" customWidth="1"/>
    <col min="3402" max="3584" width="11.42578125" style="315"/>
    <col min="3585" max="3585" width="0.85546875" style="315" customWidth="1"/>
    <col min="3586" max="3586" width="3.28515625" style="315" customWidth="1"/>
    <col min="3587" max="3588" width="3.7109375" style="315" customWidth="1"/>
    <col min="3589" max="3589" width="4" style="315" customWidth="1"/>
    <col min="3590" max="3590" width="0.5703125" style="315" customWidth="1"/>
    <col min="3591" max="3591" width="2.85546875" style="315" customWidth="1"/>
    <col min="3592" max="3592" width="3.42578125" style="315" customWidth="1"/>
    <col min="3593" max="3593" width="3.7109375" style="315" customWidth="1"/>
    <col min="3594" max="3594" width="3.5703125" style="315" customWidth="1"/>
    <col min="3595" max="3595" width="0.42578125" style="315" customWidth="1"/>
    <col min="3596" max="3596" width="4.28515625" style="315" customWidth="1"/>
    <col min="3597" max="3597" width="3.42578125" style="315" customWidth="1"/>
    <col min="3598" max="3598" width="0.42578125" style="315" customWidth="1"/>
    <col min="3599" max="3599" width="3.42578125" style="315" customWidth="1"/>
    <col min="3600" max="3600" width="0.42578125" style="315" customWidth="1"/>
    <col min="3601" max="3601" width="10.7109375" style="315" customWidth="1"/>
    <col min="3602" max="3602" width="4.5703125" style="315" customWidth="1"/>
    <col min="3603" max="3603" width="3.28515625" style="315" customWidth="1"/>
    <col min="3604" max="3604" width="0.5703125" style="315" customWidth="1"/>
    <col min="3605" max="3605" width="3.5703125" style="315" customWidth="1"/>
    <col min="3606" max="3606" width="11.5703125" style="315" customWidth="1"/>
    <col min="3607" max="3607" width="3.42578125" style="315" customWidth="1"/>
    <col min="3608" max="3608" width="0.5703125" style="315" customWidth="1"/>
    <col min="3609" max="3609" width="15.85546875" style="315" customWidth="1"/>
    <col min="3610" max="3657" width="11.42578125" style="315" customWidth="1"/>
    <col min="3658" max="3840" width="11.42578125" style="315"/>
    <col min="3841" max="3841" width="0.85546875" style="315" customWidth="1"/>
    <col min="3842" max="3842" width="3.28515625" style="315" customWidth="1"/>
    <col min="3843" max="3844" width="3.7109375" style="315" customWidth="1"/>
    <col min="3845" max="3845" width="4" style="315" customWidth="1"/>
    <col min="3846" max="3846" width="0.5703125" style="315" customWidth="1"/>
    <col min="3847" max="3847" width="2.85546875" style="315" customWidth="1"/>
    <col min="3848" max="3848" width="3.42578125" style="315" customWidth="1"/>
    <col min="3849" max="3849" width="3.7109375" style="315" customWidth="1"/>
    <col min="3850" max="3850" width="3.5703125" style="315" customWidth="1"/>
    <col min="3851" max="3851" width="0.42578125" style="315" customWidth="1"/>
    <col min="3852" max="3852" width="4.28515625" style="315" customWidth="1"/>
    <col min="3853" max="3853" width="3.42578125" style="315" customWidth="1"/>
    <col min="3854" max="3854" width="0.42578125" style="315" customWidth="1"/>
    <col min="3855" max="3855" width="3.42578125" style="315" customWidth="1"/>
    <col min="3856" max="3856" width="0.42578125" style="315" customWidth="1"/>
    <col min="3857" max="3857" width="10.7109375" style="315" customWidth="1"/>
    <col min="3858" max="3858" width="4.5703125" style="315" customWidth="1"/>
    <col min="3859" max="3859" width="3.28515625" style="315" customWidth="1"/>
    <col min="3860" max="3860" width="0.5703125" style="315" customWidth="1"/>
    <col min="3861" max="3861" width="3.5703125" style="315" customWidth="1"/>
    <col min="3862" max="3862" width="11.5703125" style="315" customWidth="1"/>
    <col min="3863" max="3863" width="3.42578125" style="315" customWidth="1"/>
    <col min="3864" max="3864" width="0.5703125" style="315" customWidth="1"/>
    <col min="3865" max="3865" width="15.85546875" style="315" customWidth="1"/>
    <col min="3866" max="3913" width="11.42578125" style="315" customWidth="1"/>
    <col min="3914" max="4096" width="11.42578125" style="315"/>
    <col min="4097" max="4097" width="0.85546875" style="315" customWidth="1"/>
    <col min="4098" max="4098" width="3.28515625" style="315" customWidth="1"/>
    <col min="4099" max="4100" width="3.7109375" style="315" customWidth="1"/>
    <col min="4101" max="4101" width="4" style="315" customWidth="1"/>
    <col min="4102" max="4102" width="0.5703125" style="315" customWidth="1"/>
    <col min="4103" max="4103" width="2.85546875" style="315" customWidth="1"/>
    <col min="4104" max="4104" width="3.42578125" style="315" customWidth="1"/>
    <col min="4105" max="4105" width="3.7109375" style="315" customWidth="1"/>
    <col min="4106" max="4106" width="3.5703125" style="315" customWidth="1"/>
    <col min="4107" max="4107" width="0.42578125" style="315" customWidth="1"/>
    <col min="4108" max="4108" width="4.28515625" style="315" customWidth="1"/>
    <col min="4109" max="4109" width="3.42578125" style="315" customWidth="1"/>
    <col min="4110" max="4110" width="0.42578125" style="315" customWidth="1"/>
    <col min="4111" max="4111" width="3.42578125" style="315" customWidth="1"/>
    <col min="4112" max="4112" width="0.42578125" style="315" customWidth="1"/>
    <col min="4113" max="4113" width="10.7109375" style="315" customWidth="1"/>
    <col min="4114" max="4114" width="4.5703125" style="315" customWidth="1"/>
    <col min="4115" max="4115" width="3.28515625" style="315" customWidth="1"/>
    <col min="4116" max="4116" width="0.5703125" style="315" customWidth="1"/>
    <col min="4117" max="4117" width="3.5703125" style="315" customWidth="1"/>
    <col min="4118" max="4118" width="11.5703125" style="315" customWidth="1"/>
    <col min="4119" max="4119" width="3.42578125" style="315" customWidth="1"/>
    <col min="4120" max="4120" width="0.5703125" style="315" customWidth="1"/>
    <col min="4121" max="4121" width="15.85546875" style="315" customWidth="1"/>
    <col min="4122" max="4169" width="11.42578125" style="315" customWidth="1"/>
    <col min="4170" max="4352" width="11.42578125" style="315"/>
    <col min="4353" max="4353" width="0.85546875" style="315" customWidth="1"/>
    <col min="4354" max="4354" width="3.28515625" style="315" customWidth="1"/>
    <col min="4355" max="4356" width="3.7109375" style="315" customWidth="1"/>
    <col min="4357" max="4357" width="4" style="315" customWidth="1"/>
    <col min="4358" max="4358" width="0.5703125" style="315" customWidth="1"/>
    <col min="4359" max="4359" width="2.85546875" style="315" customWidth="1"/>
    <col min="4360" max="4360" width="3.42578125" style="315" customWidth="1"/>
    <col min="4361" max="4361" width="3.7109375" style="315" customWidth="1"/>
    <col min="4362" max="4362" width="3.5703125" style="315" customWidth="1"/>
    <col min="4363" max="4363" width="0.42578125" style="315" customWidth="1"/>
    <col min="4364" max="4364" width="4.28515625" style="315" customWidth="1"/>
    <col min="4365" max="4365" width="3.42578125" style="315" customWidth="1"/>
    <col min="4366" max="4366" width="0.42578125" style="315" customWidth="1"/>
    <col min="4367" max="4367" width="3.42578125" style="315" customWidth="1"/>
    <col min="4368" max="4368" width="0.42578125" style="315" customWidth="1"/>
    <col min="4369" max="4369" width="10.7109375" style="315" customWidth="1"/>
    <col min="4370" max="4370" width="4.5703125" style="315" customWidth="1"/>
    <col min="4371" max="4371" width="3.28515625" style="315" customWidth="1"/>
    <col min="4372" max="4372" width="0.5703125" style="315" customWidth="1"/>
    <col min="4373" max="4373" width="3.5703125" style="315" customWidth="1"/>
    <col min="4374" max="4374" width="11.5703125" style="315" customWidth="1"/>
    <col min="4375" max="4375" width="3.42578125" style="315" customWidth="1"/>
    <col min="4376" max="4376" width="0.5703125" style="315" customWidth="1"/>
    <col min="4377" max="4377" width="15.85546875" style="315" customWidth="1"/>
    <col min="4378" max="4425" width="11.42578125" style="315" customWidth="1"/>
    <col min="4426" max="4608" width="11.42578125" style="315"/>
    <col min="4609" max="4609" width="0.85546875" style="315" customWidth="1"/>
    <col min="4610" max="4610" width="3.28515625" style="315" customWidth="1"/>
    <col min="4611" max="4612" width="3.7109375" style="315" customWidth="1"/>
    <col min="4613" max="4613" width="4" style="315" customWidth="1"/>
    <col min="4614" max="4614" width="0.5703125" style="315" customWidth="1"/>
    <col min="4615" max="4615" width="2.85546875" style="315" customWidth="1"/>
    <col min="4616" max="4616" width="3.42578125" style="315" customWidth="1"/>
    <col min="4617" max="4617" width="3.7109375" style="315" customWidth="1"/>
    <col min="4618" max="4618" width="3.5703125" style="315" customWidth="1"/>
    <col min="4619" max="4619" width="0.42578125" style="315" customWidth="1"/>
    <col min="4620" max="4620" width="4.28515625" style="315" customWidth="1"/>
    <col min="4621" max="4621" width="3.42578125" style="315" customWidth="1"/>
    <col min="4622" max="4622" width="0.42578125" style="315" customWidth="1"/>
    <col min="4623" max="4623" width="3.42578125" style="315" customWidth="1"/>
    <col min="4624" max="4624" width="0.42578125" style="315" customWidth="1"/>
    <col min="4625" max="4625" width="10.7109375" style="315" customWidth="1"/>
    <col min="4626" max="4626" width="4.5703125" style="315" customWidth="1"/>
    <col min="4627" max="4627" width="3.28515625" style="315" customWidth="1"/>
    <col min="4628" max="4628" width="0.5703125" style="315" customWidth="1"/>
    <col min="4629" max="4629" width="3.5703125" style="315" customWidth="1"/>
    <col min="4630" max="4630" width="11.5703125" style="315" customWidth="1"/>
    <col min="4631" max="4631" width="3.42578125" style="315" customWidth="1"/>
    <col min="4632" max="4632" width="0.5703125" style="315" customWidth="1"/>
    <col min="4633" max="4633" width="15.85546875" style="315" customWidth="1"/>
    <col min="4634" max="4681" width="11.42578125" style="315" customWidth="1"/>
    <col min="4682" max="4864" width="11.42578125" style="315"/>
    <col min="4865" max="4865" width="0.85546875" style="315" customWidth="1"/>
    <col min="4866" max="4866" width="3.28515625" style="315" customWidth="1"/>
    <col min="4867" max="4868" width="3.7109375" style="315" customWidth="1"/>
    <col min="4869" max="4869" width="4" style="315" customWidth="1"/>
    <col min="4870" max="4870" width="0.5703125" style="315" customWidth="1"/>
    <col min="4871" max="4871" width="2.85546875" style="315" customWidth="1"/>
    <col min="4872" max="4872" width="3.42578125" style="315" customWidth="1"/>
    <col min="4873" max="4873" width="3.7109375" style="315" customWidth="1"/>
    <col min="4874" max="4874" width="3.5703125" style="315" customWidth="1"/>
    <col min="4875" max="4875" width="0.42578125" style="315" customWidth="1"/>
    <col min="4876" max="4876" width="4.28515625" style="315" customWidth="1"/>
    <col min="4877" max="4877" width="3.42578125" style="315" customWidth="1"/>
    <col min="4878" max="4878" width="0.42578125" style="315" customWidth="1"/>
    <col min="4879" max="4879" width="3.42578125" style="315" customWidth="1"/>
    <col min="4880" max="4880" width="0.42578125" style="315" customWidth="1"/>
    <col min="4881" max="4881" width="10.7109375" style="315" customWidth="1"/>
    <col min="4882" max="4882" width="4.5703125" style="315" customWidth="1"/>
    <col min="4883" max="4883" width="3.28515625" style="315" customWidth="1"/>
    <col min="4884" max="4884" width="0.5703125" style="315" customWidth="1"/>
    <col min="4885" max="4885" width="3.5703125" style="315" customWidth="1"/>
    <col min="4886" max="4886" width="11.5703125" style="315" customWidth="1"/>
    <col min="4887" max="4887" width="3.42578125" style="315" customWidth="1"/>
    <col min="4888" max="4888" width="0.5703125" style="315" customWidth="1"/>
    <col min="4889" max="4889" width="15.85546875" style="315" customWidth="1"/>
    <col min="4890" max="4937" width="11.42578125" style="315" customWidth="1"/>
    <col min="4938" max="5120" width="11.42578125" style="315"/>
    <col min="5121" max="5121" width="0.85546875" style="315" customWidth="1"/>
    <col min="5122" max="5122" width="3.28515625" style="315" customWidth="1"/>
    <col min="5123" max="5124" width="3.7109375" style="315" customWidth="1"/>
    <col min="5125" max="5125" width="4" style="315" customWidth="1"/>
    <col min="5126" max="5126" width="0.5703125" style="315" customWidth="1"/>
    <col min="5127" max="5127" width="2.85546875" style="315" customWidth="1"/>
    <col min="5128" max="5128" width="3.42578125" style="315" customWidth="1"/>
    <col min="5129" max="5129" width="3.7109375" style="315" customWidth="1"/>
    <col min="5130" max="5130" width="3.5703125" style="315" customWidth="1"/>
    <col min="5131" max="5131" width="0.42578125" style="315" customWidth="1"/>
    <col min="5132" max="5132" width="4.28515625" style="315" customWidth="1"/>
    <col min="5133" max="5133" width="3.42578125" style="315" customWidth="1"/>
    <col min="5134" max="5134" width="0.42578125" style="315" customWidth="1"/>
    <col min="5135" max="5135" width="3.42578125" style="315" customWidth="1"/>
    <col min="5136" max="5136" width="0.42578125" style="315" customWidth="1"/>
    <col min="5137" max="5137" width="10.7109375" style="315" customWidth="1"/>
    <col min="5138" max="5138" width="4.5703125" style="315" customWidth="1"/>
    <col min="5139" max="5139" width="3.28515625" style="315" customWidth="1"/>
    <col min="5140" max="5140" width="0.5703125" style="315" customWidth="1"/>
    <col min="5141" max="5141" width="3.5703125" style="315" customWidth="1"/>
    <col min="5142" max="5142" width="11.5703125" style="315" customWidth="1"/>
    <col min="5143" max="5143" width="3.42578125" style="315" customWidth="1"/>
    <col min="5144" max="5144" width="0.5703125" style="315" customWidth="1"/>
    <col min="5145" max="5145" width="15.85546875" style="315" customWidth="1"/>
    <col min="5146" max="5193" width="11.42578125" style="315" customWidth="1"/>
    <col min="5194" max="5376" width="11.42578125" style="315"/>
    <col min="5377" max="5377" width="0.85546875" style="315" customWidth="1"/>
    <col min="5378" max="5378" width="3.28515625" style="315" customWidth="1"/>
    <col min="5379" max="5380" width="3.7109375" style="315" customWidth="1"/>
    <col min="5381" max="5381" width="4" style="315" customWidth="1"/>
    <col min="5382" max="5382" width="0.5703125" style="315" customWidth="1"/>
    <col min="5383" max="5383" width="2.85546875" style="315" customWidth="1"/>
    <col min="5384" max="5384" width="3.42578125" style="315" customWidth="1"/>
    <col min="5385" max="5385" width="3.7109375" style="315" customWidth="1"/>
    <col min="5386" max="5386" width="3.5703125" style="315" customWidth="1"/>
    <col min="5387" max="5387" width="0.42578125" style="315" customWidth="1"/>
    <col min="5388" max="5388" width="4.28515625" style="315" customWidth="1"/>
    <col min="5389" max="5389" width="3.42578125" style="315" customWidth="1"/>
    <col min="5390" max="5390" width="0.42578125" style="315" customWidth="1"/>
    <col min="5391" max="5391" width="3.42578125" style="315" customWidth="1"/>
    <col min="5392" max="5392" width="0.42578125" style="315" customWidth="1"/>
    <col min="5393" max="5393" width="10.7109375" style="315" customWidth="1"/>
    <col min="5394" max="5394" width="4.5703125" style="315" customWidth="1"/>
    <col min="5395" max="5395" width="3.28515625" style="315" customWidth="1"/>
    <col min="5396" max="5396" width="0.5703125" style="315" customWidth="1"/>
    <col min="5397" max="5397" width="3.5703125" style="315" customWidth="1"/>
    <col min="5398" max="5398" width="11.5703125" style="315" customWidth="1"/>
    <col min="5399" max="5399" width="3.42578125" style="315" customWidth="1"/>
    <col min="5400" max="5400" width="0.5703125" style="315" customWidth="1"/>
    <col min="5401" max="5401" width="15.85546875" style="315" customWidth="1"/>
    <col min="5402" max="5449" width="11.42578125" style="315" customWidth="1"/>
    <col min="5450" max="5632" width="11.42578125" style="315"/>
    <col min="5633" max="5633" width="0.85546875" style="315" customWidth="1"/>
    <col min="5634" max="5634" width="3.28515625" style="315" customWidth="1"/>
    <col min="5635" max="5636" width="3.7109375" style="315" customWidth="1"/>
    <col min="5637" max="5637" width="4" style="315" customWidth="1"/>
    <col min="5638" max="5638" width="0.5703125" style="315" customWidth="1"/>
    <col min="5639" max="5639" width="2.85546875" style="315" customWidth="1"/>
    <col min="5640" max="5640" width="3.42578125" style="315" customWidth="1"/>
    <col min="5641" max="5641" width="3.7109375" style="315" customWidth="1"/>
    <col min="5642" max="5642" width="3.5703125" style="315" customWidth="1"/>
    <col min="5643" max="5643" width="0.42578125" style="315" customWidth="1"/>
    <col min="5644" max="5644" width="4.28515625" style="315" customWidth="1"/>
    <col min="5645" max="5645" width="3.42578125" style="315" customWidth="1"/>
    <col min="5646" max="5646" width="0.42578125" style="315" customWidth="1"/>
    <col min="5647" max="5647" width="3.42578125" style="315" customWidth="1"/>
    <col min="5648" max="5648" width="0.42578125" style="315" customWidth="1"/>
    <col min="5649" max="5649" width="10.7109375" style="315" customWidth="1"/>
    <col min="5650" max="5650" width="4.5703125" style="315" customWidth="1"/>
    <col min="5651" max="5651" width="3.28515625" style="315" customWidth="1"/>
    <col min="5652" max="5652" width="0.5703125" style="315" customWidth="1"/>
    <col min="5653" max="5653" width="3.5703125" style="315" customWidth="1"/>
    <col min="5654" max="5654" width="11.5703125" style="315" customWidth="1"/>
    <col min="5655" max="5655" width="3.42578125" style="315" customWidth="1"/>
    <col min="5656" max="5656" width="0.5703125" style="315" customWidth="1"/>
    <col min="5657" max="5657" width="15.85546875" style="315" customWidth="1"/>
    <col min="5658" max="5705" width="11.42578125" style="315" customWidth="1"/>
    <col min="5706" max="5888" width="11.42578125" style="315"/>
    <col min="5889" max="5889" width="0.85546875" style="315" customWidth="1"/>
    <col min="5890" max="5890" width="3.28515625" style="315" customWidth="1"/>
    <col min="5891" max="5892" width="3.7109375" style="315" customWidth="1"/>
    <col min="5893" max="5893" width="4" style="315" customWidth="1"/>
    <col min="5894" max="5894" width="0.5703125" style="315" customWidth="1"/>
    <col min="5895" max="5895" width="2.85546875" style="315" customWidth="1"/>
    <col min="5896" max="5896" width="3.42578125" style="315" customWidth="1"/>
    <col min="5897" max="5897" width="3.7109375" style="315" customWidth="1"/>
    <col min="5898" max="5898" width="3.5703125" style="315" customWidth="1"/>
    <col min="5899" max="5899" width="0.42578125" style="315" customWidth="1"/>
    <col min="5900" max="5900" width="4.28515625" style="315" customWidth="1"/>
    <col min="5901" max="5901" width="3.42578125" style="315" customWidth="1"/>
    <col min="5902" max="5902" width="0.42578125" style="315" customWidth="1"/>
    <col min="5903" max="5903" width="3.42578125" style="315" customWidth="1"/>
    <col min="5904" max="5904" width="0.42578125" style="315" customWidth="1"/>
    <col min="5905" max="5905" width="10.7109375" style="315" customWidth="1"/>
    <col min="5906" max="5906" width="4.5703125" style="315" customWidth="1"/>
    <col min="5907" max="5907" width="3.28515625" style="315" customWidth="1"/>
    <col min="5908" max="5908" width="0.5703125" style="315" customWidth="1"/>
    <col min="5909" max="5909" width="3.5703125" style="315" customWidth="1"/>
    <col min="5910" max="5910" width="11.5703125" style="315" customWidth="1"/>
    <col min="5911" max="5911" width="3.42578125" style="315" customWidth="1"/>
    <col min="5912" max="5912" width="0.5703125" style="315" customWidth="1"/>
    <col min="5913" max="5913" width="15.85546875" style="315" customWidth="1"/>
    <col min="5914" max="5961" width="11.42578125" style="315" customWidth="1"/>
    <col min="5962" max="6144" width="11.42578125" style="315"/>
    <col min="6145" max="6145" width="0.85546875" style="315" customWidth="1"/>
    <col min="6146" max="6146" width="3.28515625" style="315" customWidth="1"/>
    <col min="6147" max="6148" width="3.7109375" style="315" customWidth="1"/>
    <col min="6149" max="6149" width="4" style="315" customWidth="1"/>
    <col min="6150" max="6150" width="0.5703125" style="315" customWidth="1"/>
    <col min="6151" max="6151" width="2.85546875" style="315" customWidth="1"/>
    <col min="6152" max="6152" width="3.42578125" style="315" customWidth="1"/>
    <col min="6153" max="6153" width="3.7109375" style="315" customWidth="1"/>
    <col min="6154" max="6154" width="3.5703125" style="315" customWidth="1"/>
    <col min="6155" max="6155" width="0.42578125" style="315" customWidth="1"/>
    <col min="6156" max="6156" width="4.28515625" style="315" customWidth="1"/>
    <col min="6157" max="6157" width="3.42578125" style="315" customWidth="1"/>
    <col min="6158" max="6158" width="0.42578125" style="315" customWidth="1"/>
    <col min="6159" max="6159" width="3.42578125" style="315" customWidth="1"/>
    <col min="6160" max="6160" width="0.42578125" style="315" customWidth="1"/>
    <col min="6161" max="6161" width="10.7109375" style="315" customWidth="1"/>
    <col min="6162" max="6162" width="4.5703125" style="315" customWidth="1"/>
    <col min="6163" max="6163" width="3.28515625" style="315" customWidth="1"/>
    <col min="6164" max="6164" width="0.5703125" style="315" customWidth="1"/>
    <col min="6165" max="6165" width="3.5703125" style="315" customWidth="1"/>
    <col min="6166" max="6166" width="11.5703125" style="315" customWidth="1"/>
    <col min="6167" max="6167" width="3.42578125" style="315" customWidth="1"/>
    <col min="6168" max="6168" width="0.5703125" style="315" customWidth="1"/>
    <col min="6169" max="6169" width="15.85546875" style="315" customWidth="1"/>
    <col min="6170" max="6217" width="11.42578125" style="315" customWidth="1"/>
    <col min="6218" max="6400" width="11.42578125" style="315"/>
    <col min="6401" max="6401" width="0.85546875" style="315" customWidth="1"/>
    <col min="6402" max="6402" width="3.28515625" style="315" customWidth="1"/>
    <col min="6403" max="6404" width="3.7109375" style="315" customWidth="1"/>
    <col min="6405" max="6405" width="4" style="315" customWidth="1"/>
    <col min="6406" max="6406" width="0.5703125" style="315" customWidth="1"/>
    <col min="6407" max="6407" width="2.85546875" style="315" customWidth="1"/>
    <col min="6408" max="6408" width="3.42578125" style="315" customWidth="1"/>
    <col min="6409" max="6409" width="3.7109375" style="315" customWidth="1"/>
    <col min="6410" max="6410" width="3.5703125" style="315" customWidth="1"/>
    <col min="6411" max="6411" width="0.42578125" style="315" customWidth="1"/>
    <col min="6412" max="6412" width="4.28515625" style="315" customWidth="1"/>
    <col min="6413" max="6413" width="3.42578125" style="315" customWidth="1"/>
    <col min="6414" max="6414" width="0.42578125" style="315" customWidth="1"/>
    <col min="6415" max="6415" width="3.42578125" style="315" customWidth="1"/>
    <col min="6416" max="6416" width="0.42578125" style="315" customWidth="1"/>
    <col min="6417" max="6417" width="10.7109375" style="315" customWidth="1"/>
    <col min="6418" max="6418" width="4.5703125" style="315" customWidth="1"/>
    <col min="6419" max="6419" width="3.28515625" style="315" customWidth="1"/>
    <col min="6420" max="6420" width="0.5703125" style="315" customWidth="1"/>
    <col min="6421" max="6421" width="3.5703125" style="315" customWidth="1"/>
    <col min="6422" max="6422" width="11.5703125" style="315" customWidth="1"/>
    <col min="6423" max="6423" width="3.42578125" style="315" customWidth="1"/>
    <col min="6424" max="6424" width="0.5703125" style="315" customWidth="1"/>
    <col min="6425" max="6425" width="15.85546875" style="315" customWidth="1"/>
    <col min="6426" max="6473" width="11.42578125" style="315" customWidth="1"/>
    <col min="6474" max="6656" width="11.42578125" style="315"/>
    <col min="6657" max="6657" width="0.85546875" style="315" customWidth="1"/>
    <col min="6658" max="6658" width="3.28515625" style="315" customWidth="1"/>
    <col min="6659" max="6660" width="3.7109375" style="315" customWidth="1"/>
    <col min="6661" max="6661" width="4" style="315" customWidth="1"/>
    <col min="6662" max="6662" width="0.5703125" style="315" customWidth="1"/>
    <col min="6663" max="6663" width="2.85546875" style="315" customWidth="1"/>
    <col min="6664" max="6664" width="3.42578125" style="315" customWidth="1"/>
    <col min="6665" max="6665" width="3.7109375" style="315" customWidth="1"/>
    <col min="6666" max="6666" width="3.5703125" style="315" customWidth="1"/>
    <col min="6667" max="6667" width="0.42578125" style="315" customWidth="1"/>
    <col min="6668" max="6668" width="4.28515625" style="315" customWidth="1"/>
    <col min="6669" max="6669" width="3.42578125" style="315" customWidth="1"/>
    <col min="6670" max="6670" width="0.42578125" style="315" customWidth="1"/>
    <col min="6671" max="6671" width="3.42578125" style="315" customWidth="1"/>
    <col min="6672" max="6672" width="0.42578125" style="315" customWidth="1"/>
    <col min="6673" max="6673" width="10.7109375" style="315" customWidth="1"/>
    <col min="6674" max="6674" width="4.5703125" style="315" customWidth="1"/>
    <col min="6675" max="6675" width="3.28515625" style="315" customWidth="1"/>
    <col min="6676" max="6676" width="0.5703125" style="315" customWidth="1"/>
    <col min="6677" max="6677" width="3.5703125" style="315" customWidth="1"/>
    <col min="6678" max="6678" width="11.5703125" style="315" customWidth="1"/>
    <col min="6679" max="6679" width="3.42578125" style="315" customWidth="1"/>
    <col min="6680" max="6680" width="0.5703125" style="315" customWidth="1"/>
    <col min="6681" max="6681" width="15.85546875" style="315" customWidth="1"/>
    <col min="6682" max="6729" width="11.42578125" style="315" customWidth="1"/>
    <col min="6730" max="6912" width="11.42578125" style="315"/>
    <col min="6913" max="6913" width="0.85546875" style="315" customWidth="1"/>
    <col min="6914" max="6914" width="3.28515625" style="315" customWidth="1"/>
    <col min="6915" max="6916" width="3.7109375" style="315" customWidth="1"/>
    <col min="6917" max="6917" width="4" style="315" customWidth="1"/>
    <col min="6918" max="6918" width="0.5703125" style="315" customWidth="1"/>
    <col min="6919" max="6919" width="2.85546875" style="315" customWidth="1"/>
    <col min="6920" max="6920" width="3.42578125" style="315" customWidth="1"/>
    <col min="6921" max="6921" width="3.7109375" style="315" customWidth="1"/>
    <col min="6922" max="6922" width="3.5703125" style="315" customWidth="1"/>
    <col min="6923" max="6923" width="0.42578125" style="315" customWidth="1"/>
    <col min="6924" max="6924" width="4.28515625" style="315" customWidth="1"/>
    <col min="6925" max="6925" width="3.42578125" style="315" customWidth="1"/>
    <col min="6926" max="6926" width="0.42578125" style="315" customWidth="1"/>
    <col min="6927" max="6927" width="3.42578125" style="315" customWidth="1"/>
    <col min="6928" max="6928" width="0.42578125" style="315" customWidth="1"/>
    <col min="6929" max="6929" width="10.7109375" style="315" customWidth="1"/>
    <col min="6930" max="6930" width="4.5703125" style="315" customWidth="1"/>
    <col min="6931" max="6931" width="3.28515625" style="315" customWidth="1"/>
    <col min="6932" max="6932" width="0.5703125" style="315" customWidth="1"/>
    <col min="6933" max="6933" width="3.5703125" style="315" customWidth="1"/>
    <col min="6934" max="6934" width="11.5703125" style="315" customWidth="1"/>
    <col min="6935" max="6935" width="3.42578125" style="315" customWidth="1"/>
    <col min="6936" max="6936" width="0.5703125" style="315" customWidth="1"/>
    <col min="6937" max="6937" width="15.85546875" style="315" customWidth="1"/>
    <col min="6938" max="6985" width="11.42578125" style="315" customWidth="1"/>
    <col min="6986" max="7168" width="11.42578125" style="315"/>
    <col min="7169" max="7169" width="0.85546875" style="315" customWidth="1"/>
    <col min="7170" max="7170" width="3.28515625" style="315" customWidth="1"/>
    <col min="7171" max="7172" width="3.7109375" style="315" customWidth="1"/>
    <col min="7173" max="7173" width="4" style="315" customWidth="1"/>
    <col min="7174" max="7174" width="0.5703125" style="315" customWidth="1"/>
    <col min="7175" max="7175" width="2.85546875" style="315" customWidth="1"/>
    <col min="7176" max="7176" width="3.42578125" style="315" customWidth="1"/>
    <col min="7177" max="7177" width="3.7109375" style="315" customWidth="1"/>
    <col min="7178" max="7178" width="3.5703125" style="315" customWidth="1"/>
    <col min="7179" max="7179" width="0.42578125" style="315" customWidth="1"/>
    <col min="7180" max="7180" width="4.28515625" style="315" customWidth="1"/>
    <col min="7181" max="7181" width="3.42578125" style="315" customWidth="1"/>
    <col min="7182" max="7182" width="0.42578125" style="315" customWidth="1"/>
    <col min="7183" max="7183" width="3.42578125" style="315" customWidth="1"/>
    <col min="7184" max="7184" width="0.42578125" style="315" customWidth="1"/>
    <col min="7185" max="7185" width="10.7109375" style="315" customWidth="1"/>
    <col min="7186" max="7186" width="4.5703125" style="315" customWidth="1"/>
    <col min="7187" max="7187" width="3.28515625" style="315" customWidth="1"/>
    <col min="7188" max="7188" width="0.5703125" style="315" customWidth="1"/>
    <col min="7189" max="7189" width="3.5703125" style="315" customWidth="1"/>
    <col min="7190" max="7190" width="11.5703125" style="315" customWidth="1"/>
    <col min="7191" max="7191" width="3.42578125" style="315" customWidth="1"/>
    <col min="7192" max="7192" width="0.5703125" style="315" customWidth="1"/>
    <col min="7193" max="7193" width="15.85546875" style="315" customWidth="1"/>
    <col min="7194" max="7241" width="11.42578125" style="315" customWidth="1"/>
    <col min="7242" max="7424" width="11.42578125" style="315"/>
    <col min="7425" max="7425" width="0.85546875" style="315" customWidth="1"/>
    <col min="7426" max="7426" width="3.28515625" style="315" customWidth="1"/>
    <col min="7427" max="7428" width="3.7109375" style="315" customWidth="1"/>
    <col min="7429" max="7429" width="4" style="315" customWidth="1"/>
    <col min="7430" max="7430" width="0.5703125" style="315" customWidth="1"/>
    <col min="7431" max="7431" width="2.85546875" style="315" customWidth="1"/>
    <col min="7432" max="7432" width="3.42578125" style="315" customWidth="1"/>
    <col min="7433" max="7433" width="3.7109375" style="315" customWidth="1"/>
    <col min="7434" max="7434" width="3.5703125" style="315" customWidth="1"/>
    <col min="7435" max="7435" width="0.42578125" style="315" customWidth="1"/>
    <col min="7436" max="7436" width="4.28515625" style="315" customWidth="1"/>
    <col min="7437" max="7437" width="3.42578125" style="315" customWidth="1"/>
    <col min="7438" max="7438" width="0.42578125" style="315" customWidth="1"/>
    <col min="7439" max="7439" width="3.42578125" style="315" customWidth="1"/>
    <col min="7440" max="7440" width="0.42578125" style="315" customWidth="1"/>
    <col min="7441" max="7441" width="10.7109375" style="315" customWidth="1"/>
    <col min="7442" max="7442" width="4.5703125" style="315" customWidth="1"/>
    <col min="7443" max="7443" width="3.28515625" style="315" customWidth="1"/>
    <col min="7444" max="7444" width="0.5703125" style="315" customWidth="1"/>
    <col min="7445" max="7445" width="3.5703125" style="315" customWidth="1"/>
    <col min="7446" max="7446" width="11.5703125" style="315" customWidth="1"/>
    <col min="7447" max="7447" width="3.42578125" style="315" customWidth="1"/>
    <col min="7448" max="7448" width="0.5703125" style="315" customWidth="1"/>
    <col min="7449" max="7449" width="15.85546875" style="315" customWidth="1"/>
    <col min="7450" max="7497" width="11.42578125" style="315" customWidth="1"/>
    <col min="7498" max="7680" width="11.42578125" style="315"/>
    <col min="7681" max="7681" width="0.85546875" style="315" customWidth="1"/>
    <col min="7682" max="7682" width="3.28515625" style="315" customWidth="1"/>
    <col min="7683" max="7684" width="3.7109375" style="315" customWidth="1"/>
    <col min="7685" max="7685" width="4" style="315" customWidth="1"/>
    <col min="7686" max="7686" width="0.5703125" style="315" customWidth="1"/>
    <col min="7687" max="7687" width="2.85546875" style="315" customWidth="1"/>
    <col min="7688" max="7688" width="3.42578125" style="315" customWidth="1"/>
    <col min="7689" max="7689" width="3.7109375" style="315" customWidth="1"/>
    <col min="7690" max="7690" width="3.5703125" style="315" customWidth="1"/>
    <col min="7691" max="7691" width="0.42578125" style="315" customWidth="1"/>
    <col min="7692" max="7692" width="4.28515625" style="315" customWidth="1"/>
    <col min="7693" max="7693" width="3.42578125" style="315" customWidth="1"/>
    <col min="7694" max="7694" width="0.42578125" style="315" customWidth="1"/>
    <col min="7695" max="7695" width="3.42578125" style="315" customWidth="1"/>
    <col min="7696" max="7696" width="0.42578125" style="315" customWidth="1"/>
    <col min="7697" max="7697" width="10.7109375" style="315" customWidth="1"/>
    <col min="7698" max="7698" width="4.5703125" style="315" customWidth="1"/>
    <col min="7699" max="7699" width="3.28515625" style="315" customWidth="1"/>
    <col min="7700" max="7700" width="0.5703125" style="315" customWidth="1"/>
    <col min="7701" max="7701" width="3.5703125" style="315" customWidth="1"/>
    <col min="7702" max="7702" width="11.5703125" style="315" customWidth="1"/>
    <col min="7703" max="7703" width="3.42578125" style="315" customWidth="1"/>
    <col min="7704" max="7704" width="0.5703125" style="315" customWidth="1"/>
    <col min="7705" max="7705" width="15.85546875" style="315" customWidth="1"/>
    <col min="7706" max="7753" width="11.42578125" style="315" customWidth="1"/>
    <col min="7754" max="7936" width="11.42578125" style="315"/>
    <col min="7937" max="7937" width="0.85546875" style="315" customWidth="1"/>
    <col min="7938" max="7938" width="3.28515625" style="315" customWidth="1"/>
    <col min="7939" max="7940" width="3.7109375" style="315" customWidth="1"/>
    <col min="7941" max="7941" width="4" style="315" customWidth="1"/>
    <col min="7942" max="7942" width="0.5703125" style="315" customWidth="1"/>
    <col min="7943" max="7943" width="2.85546875" style="315" customWidth="1"/>
    <col min="7944" max="7944" width="3.42578125" style="315" customWidth="1"/>
    <col min="7945" max="7945" width="3.7109375" style="315" customWidth="1"/>
    <col min="7946" max="7946" width="3.5703125" style="315" customWidth="1"/>
    <col min="7947" max="7947" width="0.42578125" style="315" customWidth="1"/>
    <col min="7948" max="7948" width="4.28515625" style="315" customWidth="1"/>
    <col min="7949" max="7949" width="3.42578125" style="315" customWidth="1"/>
    <col min="7950" max="7950" width="0.42578125" style="315" customWidth="1"/>
    <col min="7951" max="7951" width="3.42578125" style="315" customWidth="1"/>
    <col min="7952" max="7952" width="0.42578125" style="315" customWidth="1"/>
    <col min="7953" max="7953" width="10.7109375" style="315" customWidth="1"/>
    <col min="7954" max="7954" width="4.5703125" style="315" customWidth="1"/>
    <col min="7955" max="7955" width="3.28515625" style="315" customWidth="1"/>
    <col min="7956" max="7956" width="0.5703125" style="315" customWidth="1"/>
    <col min="7957" max="7957" width="3.5703125" style="315" customWidth="1"/>
    <col min="7958" max="7958" width="11.5703125" style="315" customWidth="1"/>
    <col min="7959" max="7959" width="3.42578125" style="315" customWidth="1"/>
    <col min="7960" max="7960" width="0.5703125" style="315" customWidth="1"/>
    <col min="7961" max="7961" width="15.85546875" style="315" customWidth="1"/>
    <col min="7962" max="8009" width="11.42578125" style="315" customWidth="1"/>
    <col min="8010" max="8192" width="11.42578125" style="315"/>
    <col min="8193" max="8193" width="0.85546875" style="315" customWidth="1"/>
    <col min="8194" max="8194" width="3.28515625" style="315" customWidth="1"/>
    <col min="8195" max="8196" width="3.7109375" style="315" customWidth="1"/>
    <col min="8197" max="8197" width="4" style="315" customWidth="1"/>
    <col min="8198" max="8198" width="0.5703125" style="315" customWidth="1"/>
    <col min="8199" max="8199" width="2.85546875" style="315" customWidth="1"/>
    <col min="8200" max="8200" width="3.42578125" style="315" customWidth="1"/>
    <col min="8201" max="8201" width="3.7109375" style="315" customWidth="1"/>
    <col min="8202" max="8202" width="3.5703125" style="315" customWidth="1"/>
    <col min="8203" max="8203" width="0.42578125" style="315" customWidth="1"/>
    <col min="8204" max="8204" width="4.28515625" style="315" customWidth="1"/>
    <col min="8205" max="8205" width="3.42578125" style="315" customWidth="1"/>
    <col min="8206" max="8206" width="0.42578125" style="315" customWidth="1"/>
    <col min="8207" max="8207" width="3.42578125" style="315" customWidth="1"/>
    <col min="8208" max="8208" width="0.42578125" style="315" customWidth="1"/>
    <col min="8209" max="8209" width="10.7109375" style="315" customWidth="1"/>
    <col min="8210" max="8210" width="4.5703125" style="315" customWidth="1"/>
    <col min="8211" max="8211" width="3.28515625" style="315" customWidth="1"/>
    <col min="8212" max="8212" width="0.5703125" style="315" customWidth="1"/>
    <col min="8213" max="8213" width="3.5703125" style="315" customWidth="1"/>
    <col min="8214" max="8214" width="11.5703125" style="315" customWidth="1"/>
    <col min="8215" max="8215" width="3.42578125" style="315" customWidth="1"/>
    <col min="8216" max="8216" width="0.5703125" style="315" customWidth="1"/>
    <col min="8217" max="8217" width="15.85546875" style="315" customWidth="1"/>
    <col min="8218" max="8265" width="11.42578125" style="315" customWidth="1"/>
    <col min="8266" max="8448" width="11.42578125" style="315"/>
    <col min="8449" max="8449" width="0.85546875" style="315" customWidth="1"/>
    <col min="8450" max="8450" width="3.28515625" style="315" customWidth="1"/>
    <col min="8451" max="8452" width="3.7109375" style="315" customWidth="1"/>
    <col min="8453" max="8453" width="4" style="315" customWidth="1"/>
    <col min="8454" max="8454" width="0.5703125" style="315" customWidth="1"/>
    <col min="8455" max="8455" width="2.85546875" style="315" customWidth="1"/>
    <col min="8456" max="8456" width="3.42578125" style="315" customWidth="1"/>
    <col min="8457" max="8457" width="3.7109375" style="315" customWidth="1"/>
    <col min="8458" max="8458" width="3.5703125" style="315" customWidth="1"/>
    <col min="8459" max="8459" width="0.42578125" style="315" customWidth="1"/>
    <col min="8460" max="8460" width="4.28515625" style="315" customWidth="1"/>
    <col min="8461" max="8461" width="3.42578125" style="315" customWidth="1"/>
    <col min="8462" max="8462" width="0.42578125" style="315" customWidth="1"/>
    <col min="8463" max="8463" width="3.42578125" style="315" customWidth="1"/>
    <col min="8464" max="8464" width="0.42578125" style="315" customWidth="1"/>
    <col min="8465" max="8465" width="10.7109375" style="315" customWidth="1"/>
    <col min="8466" max="8466" width="4.5703125" style="315" customWidth="1"/>
    <col min="8467" max="8467" width="3.28515625" style="315" customWidth="1"/>
    <col min="8468" max="8468" width="0.5703125" style="315" customWidth="1"/>
    <col min="8469" max="8469" width="3.5703125" style="315" customWidth="1"/>
    <col min="8470" max="8470" width="11.5703125" style="315" customWidth="1"/>
    <col min="8471" max="8471" width="3.42578125" style="315" customWidth="1"/>
    <col min="8472" max="8472" width="0.5703125" style="315" customWidth="1"/>
    <col min="8473" max="8473" width="15.85546875" style="315" customWidth="1"/>
    <col min="8474" max="8521" width="11.42578125" style="315" customWidth="1"/>
    <col min="8522" max="8704" width="11.42578125" style="315"/>
    <col min="8705" max="8705" width="0.85546875" style="315" customWidth="1"/>
    <col min="8706" max="8706" width="3.28515625" style="315" customWidth="1"/>
    <col min="8707" max="8708" width="3.7109375" style="315" customWidth="1"/>
    <col min="8709" max="8709" width="4" style="315" customWidth="1"/>
    <col min="8710" max="8710" width="0.5703125" style="315" customWidth="1"/>
    <col min="8711" max="8711" width="2.85546875" style="315" customWidth="1"/>
    <col min="8712" max="8712" width="3.42578125" style="315" customWidth="1"/>
    <col min="8713" max="8713" width="3.7109375" style="315" customWidth="1"/>
    <col min="8714" max="8714" width="3.5703125" style="315" customWidth="1"/>
    <col min="8715" max="8715" width="0.42578125" style="315" customWidth="1"/>
    <col min="8716" max="8716" width="4.28515625" style="315" customWidth="1"/>
    <col min="8717" max="8717" width="3.42578125" style="315" customWidth="1"/>
    <col min="8718" max="8718" width="0.42578125" style="315" customWidth="1"/>
    <col min="8719" max="8719" width="3.42578125" style="315" customWidth="1"/>
    <col min="8720" max="8720" width="0.42578125" style="315" customWidth="1"/>
    <col min="8721" max="8721" width="10.7109375" style="315" customWidth="1"/>
    <col min="8722" max="8722" width="4.5703125" style="315" customWidth="1"/>
    <col min="8723" max="8723" width="3.28515625" style="315" customWidth="1"/>
    <col min="8724" max="8724" width="0.5703125" style="315" customWidth="1"/>
    <col min="8725" max="8725" width="3.5703125" style="315" customWidth="1"/>
    <col min="8726" max="8726" width="11.5703125" style="315" customWidth="1"/>
    <col min="8727" max="8727" width="3.42578125" style="315" customWidth="1"/>
    <col min="8728" max="8728" width="0.5703125" style="315" customWidth="1"/>
    <col min="8729" max="8729" width="15.85546875" style="315" customWidth="1"/>
    <col min="8730" max="8777" width="11.42578125" style="315" customWidth="1"/>
    <col min="8778" max="8960" width="11.42578125" style="315"/>
    <col min="8961" max="8961" width="0.85546875" style="315" customWidth="1"/>
    <col min="8962" max="8962" width="3.28515625" style="315" customWidth="1"/>
    <col min="8963" max="8964" width="3.7109375" style="315" customWidth="1"/>
    <col min="8965" max="8965" width="4" style="315" customWidth="1"/>
    <col min="8966" max="8966" width="0.5703125" style="315" customWidth="1"/>
    <col min="8967" max="8967" width="2.85546875" style="315" customWidth="1"/>
    <col min="8968" max="8968" width="3.42578125" style="315" customWidth="1"/>
    <col min="8969" max="8969" width="3.7109375" style="315" customWidth="1"/>
    <col min="8970" max="8970" width="3.5703125" style="315" customWidth="1"/>
    <col min="8971" max="8971" width="0.42578125" style="315" customWidth="1"/>
    <col min="8972" max="8972" width="4.28515625" style="315" customWidth="1"/>
    <col min="8973" max="8973" width="3.42578125" style="315" customWidth="1"/>
    <col min="8974" max="8974" width="0.42578125" style="315" customWidth="1"/>
    <col min="8975" max="8975" width="3.42578125" style="315" customWidth="1"/>
    <col min="8976" max="8976" width="0.42578125" style="315" customWidth="1"/>
    <col min="8977" max="8977" width="10.7109375" style="315" customWidth="1"/>
    <col min="8978" max="8978" width="4.5703125" style="315" customWidth="1"/>
    <col min="8979" max="8979" width="3.28515625" style="315" customWidth="1"/>
    <col min="8980" max="8980" width="0.5703125" style="315" customWidth="1"/>
    <col min="8981" max="8981" width="3.5703125" style="315" customWidth="1"/>
    <col min="8982" max="8982" width="11.5703125" style="315" customWidth="1"/>
    <col min="8983" max="8983" width="3.42578125" style="315" customWidth="1"/>
    <col min="8984" max="8984" width="0.5703125" style="315" customWidth="1"/>
    <col min="8985" max="8985" width="15.85546875" style="315" customWidth="1"/>
    <col min="8986" max="9033" width="11.42578125" style="315" customWidth="1"/>
    <col min="9034" max="9216" width="11.42578125" style="315"/>
    <col min="9217" max="9217" width="0.85546875" style="315" customWidth="1"/>
    <col min="9218" max="9218" width="3.28515625" style="315" customWidth="1"/>
    <col min="9219" max="9220" width="3.7109375" style="315" customWidth="1"/>
    <col min="9221" max="9221" width="4" style="315" customWidth="1"/>
    <col min="9222" max="9222" width="0.5703125" style="315" customWidth="1"/>
    <col min="9223" max="9223" width="2.85546875" style="315" customWidth="1"/>
    <col min="9224" max="9224" width="3.42578125" style="315" customWidth="1"/>
    <col min="9225" max="9225" width="3.7109375" style="315" customWidth="1"/>
    <col min="9226" max="9226" width="3.5703125" style="315" customWidth="1"/>
    <col min="9227" max="9227" width="0.42578125" style="315" customWidth="1"/>
    <col min="9228" max="9228" width="4.28515625" style="315" customWidth="1"/>
    <col min="9229" max="9229" width="3.42578125" style="315" customWidth="1"/>
    <col min="9230" max="9230" width="0.42578125" style="315" customWidth="1"/>
    <col min="9231" max="9231" width="3.42578125" style="315" customWidth="1"/>
    <col min="9232" max="9232" width="0.42578125" style="315" customWidth="1"/>
    <col min="9233" max="9233" width="10.7109375" style="315" customWidth="1"/>
    <col min="9234" max="9234" width="4.5703125" style="315" customWidth="1"/>
    <col min="9235" max="9235" width="3.28515625" style="315" customWidth="1"/>
    <col min="9236" max="9236" width="0.5703125" style="315" customWidth="1"/>
    <col min="9237" max="9237" width="3.5703125" style="315" customWidth="1"/>
    <col min="9238" max="9238" width="11.5703125" style="315" customWidth="1"/>
    <col min="9239" max="9239" width="3.42578125" style="315" customWidth="1"/>
    <col min="9240" max="9240" width="0.5703125" style="315" customWidth="1"/>
    <col min="9241" max="9241" width="15.85546875" style="315" customWidth="1"/>
    <col min="9242" max="9289" width="11.42578125" style="315" customWidth="1"/>
    <col min="9290" max="9472" width="11.42578125" style="315"/>
    <col min="9473" max="9473" width="0.85546875" style="315" customWidth="1"/>
    <col min="9474" max="9474" width="3.28515625" style="315" customWidth="1"/>
    <col min="9475" max="9476" width="3.7109375" style="315" customWidth="1"/>
    <col min="9477" max="9477" width="4" style="315" customWidth="1"/>
    <col min="9478" max="9478" width="0.5703125" style="315" customWidth="1"/>
    <col min="9479" max="9479" width="2.85546875" style="315" customWidth="1"/>
    <col min="9480" max="9480" width="3.42578125" style="315" customWidth="1"/>
    <col min="9481" max="9481" width="3.7109375" style="315" customWidth="1"/>
    <col min="9482" max="9482" width="3.5703125" style="315" customWidth="1"/>
    <col min="9483" max="9483" width="0.42578125" style="315" customWidth="1"/>
    <col min="9484" max="9484" width="4.28515625" style="315" customWidth="1"/>
    <col min="9485" max="9485" width="3.42578125" style="315" customWidth="1"/>
    <col min="9486" max="9486" width="0.42578125" style="315" customWidth="1"/>
    <col min="9487" max="9487" width="3.42578125" style="315" customWidth="1"/>
    <col min="9488" max="9488" width="0.42578125" style="315" customWidth="1"/>
    <col min="9489" max="9489" width="10.7109375" style="315" customWidth="1"/>
    <col min="9490" max="9490" width="4.5703125" style="315" customWidth="1"/>
    <col min="9491" max="9491" width="3.28515625" style="315" customWidth="1"/>
    <col min="9492" max="9492" width="0.5703125" style="315" customWidth="1"/>
    <col min="9493" max="9493" width="3.5703125" style="315" customWidth="1"/>
    <col min="9494" max="9494" width="11.5703125" style="315" customWidth="1"/>
    <col min="9495" max="9495" width="3.42578125" style="315" customWidth="1"/>
    <col min="9496" max="9496" width="0.5703125" style="315" customWidth="1"/>
    <col min="9497" max="9497" width="15.85546875" style="315" customWidth="1"/>
    <col min="9498" max="9545" width="11.42578125" style="315" customWidth="1"/>
    <col min="9546" max="9728" width="11.42578125" style="315"/>
    <col min="9729" max="9729" width="0.85546875" style="315" customWidth="1"/>
    <col min="9730" max="9730" width="3.28515625" style="315" customWidth="1"/>
    <col min="9731" max="9732" width="3.7109375" style="315" customWidth="1"/>
    <col min="9733" max="9733" width="4" style="315" customWidth="1"/>
    <col min="9734" max="9734" width="0.5703125" style="315" customWidth="1"/>
    <col min="9735" max="9735" width="2.85546875" style="315" customWidth="1"/>
    <col min="9736" max="9736" width="3.42578125" style="315" customWidth="1"/>
    <col min="9737" max="9737" width="3.7109375" style="315" customWidth="1"/>
    <col min="9738" max="9738" width="3.5703125" style="315" customWidth="1"/>
    <col min="9739" max="9739" width="0.42578125" style="315" customWidth="1"/>
    <col min="9740" max="9740" width="4.28515625" style="315" customWidth="1"/>
    <col min="9741" max="9741" width="3.42578125" style="315" customWidth="1"/>
    <col min="9742" max="9742" width="0.42578125" style="315" customWidth="1"/>
    <col min="9743" max="9743" width="3.42578125" style="315" customWidth="1"/>
    <col min="9744" max="9744" width="0.42578125" style="315" customWidth="1"/>
    <col min="9745" max="9745" width="10.7109375" style="315" customWidth="1"/>
    <col min="9746" max="9746" width="4.5703125" style="315" customWidth="1"/>
    <col min="9747" max="9747" width="3.28515625" style="315" customWidth="1"/>
    <col min="9748" max="9748" width="0.5703125" style="315" customWidth="1"/>
    <col min="9749" max="9749" width="3.5703125" style="315" customWidth="1"/>
    <col min="9750" max="9750" width="11.5703125" style="315" customWidth="1"/>
    <col min="9751" max="9751" width="3.42578125" style="315" customWidth="1"/>
    <col min="9752" max="9752" width="0.5703125" style="315" customWidth="1"/>
    <col min="9753" max="9753" width="15.85546875" style="315" customWidth="1"/>
    <col min="9754" max="9801" width="11.42578125" style="315" customWidth="1"/>
    <col min="9802" max="9984" width="11.42578125" style="315"/>
    <col min="9985" max="9985" width="0.85546875" style="315" customWidth="1"/>
    <col min="9986" max="9986" width="3.28515625" style="315" customWidth="1"/>
    <col min="9987" max="9988" width="3.7109375" style="315" customWidth="1"/>
    <col min="9989" max="9989" width="4" style="315" customWidth="1"/>
    <col min="9990" max="9990" width="0.5703125" style="315" customWidth="1"/>
    <col min="9991" max="9991" width="2.85546875" style="315" customWidth="1"/>
    <col min="9992" max="9992" width="3.42578125" style="315" customWidth="1"/>
    <col min="9993" max="9993" width="3.7109375" style="315" customWidth="1"/>
    <col min="9994" max="9994" width="3.5703125" style="315" customWidth="1"/>
    <col min="9995" max="9995" width="0.42578125" style="315" customWidth="1"/>
    <col min="9996" max="9996" width="4.28515625" style="315" customWidth="1"/>
    <col min="9997" max="9997" width="3.42578125" style="315" customWidth="1"/>
    <col min="9998" max="9998" width="0.42578125" style="315" customWidth="1"/>
    <col min="9999" max="9999" width="3.42578125" style="315" customWidth="1"/>
    <col min="10000" max="10000" width="0.42578125" style="315" customWidth="1"/>
    <col min="10001" max="10001" width="10.7109375" style="315" customWidth="1"/>
    <col min="10002" max="10002" width="4.5703125" style="315" customWidth="1"/>
    <col min="10003" max="10003" width="3.28515625" style="315" customWidth="1"/>
    <col min="10004" max="10004" width="0.5703125" style="315" customWidth="1"/>
    <col min="10005" max="10005" width="3.5703125" style="315" customWidth="1"/>
    <col min="10006" max="10006" width="11.5703125" style="315" customWidth="1"/>
    <col min="10007" max="10007" width="3.42578125" style="315" customWidth="1"/>
    <col min="10008" max="10008" width="0.5703125" style="315" customWidth="1"/>
    <col min="10009" max="10009" width="15.85546875" style="315" customWidth="1"/>
    <col min="10010" max="10057" width="11.42578125" style="315" customWidth="1"/>
    <col min="10058" max="10240" width="11.42578125" style="315"/>
    <col min="10241" max="10241" width="0.85546875" style="315" customWidth="1"/>
    <col min="10242" max="10242" width="3.28515625" style="315" customWidth="1"/>
    <col min="10243" max="10244" width="3.7109375" style="315" customWidth="1"/>
    <col min="10245" max="10245" width="4" style="315" customWidth="1"/>
    <col min="10246" max="10246" width="0.5703125" style="315" customWidth="1"/>
    <col min="10247" max="10247" width="2.85546875" style="315" customWidth="1"/>
    <col min="10248" max="10248" width="3.42578125" style="315" customWidth="1"/>
    <col min="10249" max="10249" width="3.7109375" style="315" customWidth="1"/>
    <col min="10250" max="10250" width="3.5703125" style="315" customWidth="1"/>
    <col min="10251" max="10251" width="0.42578125" style="315" customWidth="1"/>
    <col min="10252" max="10252" width="4.28515625" style="315" customWidth="1"/>
    <col min="10253" max="10253" width="3.42578125" style="315" customWidth="1"/>
    <col min="10254" max="10254" width="0.42578125" style="315" customWidth="1"/>
    <col min="10255" max="10255" width="3.42578125" style="315" customWidth="1"/>
    <col min="10256" max="10256" width="0.42578125" style="315" customWidth="1"/>
    <col min="10257" max="10257" width="10.7109375" style="315" customWidth="1"/>
    <col min="10258" max="10258" width="4.5703125" style="315" customWidth="1"/>
    <col min="10259" max="10259" width="3.28515625" style="315" customWidth="1"/>
    <col min="10260" max="10260" width="0.5703125" style="315" customWidth="1"/>
    <col min="10261" max="10261" width="3.5703125" style="315" customWidth="1"/>
    <col min="10262" max="10262" width="11.5703125" style="315" customWidth="1"/>
    <col min="10263" max="10263" width="3.42578125" style="315" customWidth="1"/>
    <col min="10264" max="10264" width="0.5703125" style="315" customWidth="1"/>
    <col min="10265" max="10265" width="15.85546875" style="315" customWidth="1"/>
    <col min="10266" max="10313" width="11.42578125" style="315" customWidth="1"/>
    <col min="10314" max="10496" width="11.42578125" style="315"/>
    <col min="10497" max="10497" width="0.85546875" style="315" customWidth="1"/>
    <col min="10498" max="10498" width="3.28515625" style="315" customWidth="1"/>
    <col min="10499" max="10500" width="3.7109375" style="315" customWidth="1"/>
    <col min="10501" max="10501" width="4" style="315" customWidth="1"/>
    <col min="10502" max="10502" width="0.5703125" style="315" customWidth="1"/>
    <col min="10503" max="10503" width="2.85546875" style="315" customWidth="1"/>
    <col min="10504" max="10504" width="3.42578125" style="315" customWidth="1"/>
    <col min="10505" max="10505" width="3.7109375" style="315" customWidth="1"/>
    <col min="10506" max="10506" width="3.5703125" style="315" customWidth="1"/>
    <col min="10507" max="10507" width="0.42578125" style="315" customWidth="1"/>
    <col min="10508" max="10508" width="4.28515625" style="315" customWidth="1"/>
    <col min="10509" max="10509" width="3.42578125" style="315" customWidth="1"/>
    <col min="10510" max="10510" width="0.42578125" style="315" customWidth="1"/>
    <col min="10511" max="10511" width="3.42578125" style="315" customWidth="1"/>
    <col min="10512" max="10512" width="0.42578125" style="315" customWidth="1"/>
    <col min="10513" max="10513" width="10.7109375" style="315" customWidth="1"/>
    <col min="10514" max="10514" width="4.5703125" style="315" customWidth="1"/>
    <col min="10515" max="10515" width="3.28515625" style="315" customWidth="1"/>
    <col min="10516" max="10516" width="0.5703125" style="315" customWidth="1"/>
    <col min="10517" max="10517" width="3.5703125" style="315" customWidth="1"/>
    <col min="10518" max="10518" width="11.5703125" style="315" customWidth="1"/>
    <col min="10519" max="10519" width="3.42578125" style="315" customWidth="1"/>
    <col min="10520" max="10520" width="0.5703125" style="315" customWidth="1"/>
    <col min="10521" max="10521" width="15.85546875" style="315" customWidth="1"/>
    <col min="10522" max="10569" width="11.42578125" style="315" customWidth="1"/>
    <col min="10570" max="10752" width="11.42578125" style="315"/>
    <col min="10753" max="10753" width="0.85546875" style="315" customWidth="1"/>
    <col min="10754" max="10754" width="3.28515625" style="315" customWidth="1"/>
    <col min="10755" max="10756" width="3.7109375" style="315" customWidth="1"/>
    <col min="10757" max="10757" width="4" style="315" customWidth="1"/>
    <col min="10758" max="10758" width="0.5703125" style="315" customWidth="1"/>
    <col min="10759" max="10759" width="2.85546875" style="315" customWidth="1"/>
    <col min="10760" max="10760" width="3.42578125" style="315" customWidth="1"/>
    <col min="10761" max="10761" width="3.7109375" style="315" customWidth="1"/>
    <col min="10762" max="10762" width="3.5703125" style="315" customWidth="1"/>
    <col min="10763" max="10763" width="0.42578125" style="315" customWidth="1"/>
    <col min="10764" max="10764" width="4.28515625" style="315" customWidth="1"/>
    <col min="10765" max="10765" width="3.42578125" style="315" customWidth="1"/>
    <col min="10766" max="10766" width="0.42578125" style="315" customWidth="1"/>
    <col min="10767" max="10767" width="3.42578125" style="315" customWidth="1"/>
    <col min="10768" max="10768" width="0.42578125" style="315" customWidth="1"/>
    <col min="10769" max="10769" width="10.7109375" style="315" customWidth="1"/>
    <col min="10770" max="10770" width="4.5703125" style="315" customWidth="1"/>
    <col min="10771" max="10771" width="3.28515625" style="315" customWidth="1"/>
    <col min="10772" max="10772" width="0.5703125" style="315" customWidth="1"/>
    <col min="10773" max="10773" width="3.5703125" style="315" customWidth="1"/>
    <col min="10774" max="10774" width="11.5703125" style="315" customWidth="1"/>
    <col min="10775" max="10775" width="3.42578125" style="315" customWidth="1"/>
    <col min="10776" max="10776" width="0.5703125" style="315" customWidth="1"/>
    <col min="10777" max="10777" width="15.85546875" style="315" customWidth="1"/>
    <col min="10778" max="10825" width="11.42578125" style="315" customWidth="1"/>
    <col min="10826" max="11008" width="11.42578125" style="315"/>
    <col min="11009" max="11009" width="0.85546875" style="315" customWidth="1"/>
    <col min="11010" max="11010" width="3.28515625" style="315" customWidth="1"/>
    <col min="11011" max="11012" width="3.7109375" style="315" customWidth="1"/>
    <col min="11013" max="11013" width="4" style="315" customWidth="1"/>
    <col min="11014" max="11014" width="0.5703125" style="315" customWidth="1"/>
    <col min="11015" max="11015" width="2.85546875" style="315" customWidth="1"/>
    <col min="11016" max="11016" width="3.42578125" style="315" customWidth="1"/>
    <col min="11017" max="11017" width="3.7109375" style="315" customWidth="1"/>
    <col min="11018" max="11018" width="3.5703125" style="315" customWidth="1"/>
    <col min="11019" max="11019" width="0.42578125" style="315" customWidth="1"/>
    <col min="11020" max="11020" width="4.28515625" style="315" customWidth="1"/>
    <col min="11021" max="11021" width="3.42578125" style="315" customWidth="1"/>
    <col min="11022" max="11022" width="0.42578125" style="315" customWidth="1"/>
    <col min="11023" max="11023" width="3.42578125" style="315" customWidth="1"/>
    <col min="11024" max="11024" width="0.42578125" style="315" customWidth="1"/>
    <col min="11025" max="11025" width="10.7109375" style="315" customWidth="1"/>
    <col min="11026" max="11026" width="4.5703125" style="315" customWidth="1"/>
    <col min="11027" max="11027" width="3.28515625" style="315" customWidth="1"/>
    <col min="11028" max="11028" width="0.5703125" style="315" customWidth="1"/>
    <col min="11029" max="11029" width="3.5703125" style="315" customWidth="1"/>
    <col min="11030" max="11030" width="11.5703125" style="315" customWidth="1"/>
    <col min="11031" max="11031" width="3.42578125" style="315" customWidth="1"/>
    <col min="11032" max="11032" width="0.5703125" style="315" customWidth="1"/>
    <col min="11033" max="11033" width="15.85546875" style="315" customWidth="1"/>
    <col min="11034" max="11081" width="11.42578125" style="315" customWidth="1"/>
    <col min="11082" max="11264" width="11.42578125" style="315"/>
    <col min="11265" max="11265" width="0.85546875" style="315" customWidth="1"/>
    <col min="11266" max="11266" width="3.28515625" style="315" customWidth="1"/>
    <col min="11267" max="11268" width="3.7109375" style="315" customWidth="1"/>
    <col min="11269" max="11269" width="4" style="315" customWidth="1"/>
    <col min="11270" max="11270" width="0.5703125" style="315" customWidth="1"/>
    <col min="11271" max="11271" width="2.85546875" style="315" customWidth="1"/>
    <col min="11272" max="11272" width="3.42578125" style="315" customWidth="1"/>
    <col min="11273" max="11273" width="3.7109375" style="315" customWidth="1"/>
    <col min="11274" max="11274" width="3.5703125" style="315" customWidth="1"/>
    <col min="11275" max="11275" width="0.42578125" style="315" customWidth="1"/>
    <col min="11276" max="11276" width="4.28515625" style="315" customWidth="1"/>
    <col min="11277" max="11277" width="3.42578125" style="315" customWidth="1"/>
    <col min="11278" max="11278" width="0.42578125" style="315" customWidth="1"/>
    <col min="11279" max="11279" width="3.42578125" style="315" customWidth="1"/>
    <col min="11280" max="11280" width="0.42578125" style="315" customWidth="1"/>
    <col min="11281" max="11281" width="10.7109375" style="315" customWidth="1"/>
    <col min="11282" max="11282" width="4.5703125" style="315" customWidth="1"/>
    <col min="11283" max="11283" width="3.28515625" style="315" customWidth="1"/>
    <col min="11284" max="11284" width="0.5703125" style="315" customWidth="1"/>
    <col min="11285" max="11285" width="3.5703125" style="315" customWidth="1"/>
    <col min="11286" max="11286" width="11.5703125" style="315" customWidth="1"/>
    <col min="11287" max="11287" width="3.42578125" style="315" customWidth="1"/>
    <col min="11288" max="11288" width="0.5703125" style="315" customWidth="1"/>
    <col min="11289" max="11289" width="15.85546875" style="315" customWidth="1"/>
    <col min="11290" max="11337" width="11.42578125" style="315" customWidth="1"/>
    <col min="11338" max="11520" width="11.42578125" style="315"/>
    <col min="11521" max="11521" width="0.85546875" style="315" customWidth="1"/>
    <col min="11522" max="11522" width="3.28515625" style="315" customWidth="1"/>
    <col min="11523" max="11524" width="3.7109375" style="315" customWidth="1"/>
    <col min="11525" max="11525" width="4" style="315" customWidth="1"/>
    <col min="11526" max="11526" width="0.5703125" style="315" customWidth="1"/>
    <col min="11527" max="11527" width="2.85546875" style="315" customWidth="1"/>
    <col min="11528" max="11528" width="3.42578125" style="315" customWidth="1"/>
    <col min="11529" max="11529" width="3.7109375" style="315" customWidth="1"/>
    <col min="11530" max="11530" width="3.5703125" style="315" customWidth="1"/>
    <col min="11531" max="11531" width="0.42578125" style="315" customWidth="1"/>
    <col min="11532" max="11532" width="4.28515625" style="315" customWidth="1"/>
    <col min="11533" max="11533" width="3.42578125" style="315" customWidth="1"/>
    <col min="11534" max="11534" width="0.42578125" style="315" customWidth="1"/>
    <col min="11535" max="11535" width="3.42578125" style="315" customWidth="1"/>
    <col min="11536" max="11536" width="0.42578125" style="315" customWidth="1"/>
    <col min="11537" max="11537" width="10.7109375" style="315" customWidth="1"/>
    <col min="11538" max="11538" width="4.5703125" style="315" customWidth="1"/>
    <col min="11539" max="11539" width="3.28515625" style="315" customWidth="1"/>
    <col min="11540" max="11540" width="0.5703125" style="315" customWidth="1"/>
    <col min="11541" max="11541" width="3.5703125" style="315" customWidth="1"/>
    <col min="11542" max="11542" width="11.5703125" style="315" customWidth="1"/>
    <col min="11543" max="11543" width="3.42578125" style="315" customWidth="1"/>
    <col min="11544" max="11544" width="0.5703125" style="315" customWidth="1"/>
    <col min="11545" max="11545" width="15.85546875" style="315" customWidth="1"/>
    <col min="11546" max="11593" width="11.42578125" style="315" customWidth="1"/>
    <col min="11594" max="11776" width="11.42578125" style="315"/>
    <col min="11777" max="11777" width="0.85546875" style="315" customWidth="1"/>
    <col min="11778" max="11778" width="3.28515625" style="315" customWidth="1"/>
    <col min="11779" max="11780" width="3.7109375" style="315" customWidth="1"/>
    <col min="11781" max="11781" width="4" style="315" customWidth="1"/>
    <col min="11782" max="11782" width="0.5703125" style="315" customWidth="1"/>
    <col min="11783" max="11783" width="2.85546875" style="315" customWidth="1"/>
    <col min="11784" max="11784" width="3.42578125" style="315" customWidth="1"/>
    <col min="11785" max="11785" width="3.7109375" style="315" customWidth="1"/>
    <col min="11786" max="11786" width="3.5703125" style="315" customWidth="1"/>
    <col min="11787" max="11787" width="0.42578125" style="315" customWidth="1"/>
    <col min="11788" max="11788" width="4.28515625" style="315" customWidth="1"/>
    <col min="11789" max="11789" width="3.42578125" style="315" customWidth="1"/>
    <col min="11790" max="11790" width="0.42578125" style="315" customWidth="1"/>
    <col min="11791" max="11791" width="3.42578125" style="315" customWidth="1"/>
    <col min="11792" max="11792" width="0.42578125" style="315" customWidth="1"/>
    <col min="11793" max="11793" width="10.7109375" style="315" customWidth="1"/>
    <col min="11794" max="11794" width="4.5703125" style="315" customWidth="1"/>
    <col min="11795" max="11795" width="3.28515625" style="315" customWidth="1"/>
    <col min="11796" max="11796" width="0.5703125" style="315" customWidth="1"/>
    <col min="11797" max="11797" width="3.5703125" style="315" customWidth="1"/>
    <col min="11798" max="11798" width="11.5703125" style="315" customWidth="1"/>
    <col min="11799" max="11799" width="3.42578125" style="315" customWidth="1"/>
    <col min="11800" max="11800" width="0.5703125" style="315" customWidth="1"/>
    <col min="11801" max="11801" width="15.85546875" style="315" customWidth="1"/>
    <col min="11802" max="11849" width="11.42578125" style="315" customWidth="1"/>
    <col min="11850" max="12032" width="11.42578125" style="315"/>
    <col min="12033" max="12033" width="0.85546875" style="315" customWidth="1"/>
    <col min="12034" max="12034" width="3.28515625" style="315" customWidth="1"/>
    <col min="12035" max="12036" width="3.7109375" style="315" customWidth="1"/>
    <col min="12037" max="12037" width="4" style="315" customWidth="1"/>
    <col min="12038" max="12038" width="0.5703125" style="315" customWidth="1"/>
    <col min="12039" max="12039" width="2.85546875" style="315" customWidth="1"/>
    <col min="12040" max="12040" width="3.42578125" style="315" customWidth="1"/>
    <col min="12041" max="12041" width="3.7109375" style="315" customWidth="1"/>
    <col min="12042" max="12042" width="3.5703125" style="315" customWidth="1"/>
    <col min="12043" max="12043" width="0.42578125" style="315" customWidth="1"/>
    <col min="12044" max="12044" width="4.28515625" style="315" customWidth="1"/>
    <col min="12045" max="12045" width="3.42578125" style="315" customWidth="1"/>
    <col min="12046" max="12046" width="0.42578125" style="315" customWidth="1"/>
    <col min="12047" max="12047" width="3.42578125" style="315" customWidth="1"/>
    <col min="12048" max="12048" width="0.42578125" style="315" customWidth="1"/>
    <col min="12049" max="12049" width="10.7109375" style="315" customWidth="1"/>
    <col min="12050" max="12050" width="4.5703125" style="315" customWidth="1"/>
    <col min="12051" max="12051" width="3.28515625" style="315" customWidth="1"/>
    <col min="12052" max="12052" width="0.5703125" style="315" customWidth="1"/>
    <col min="12053" max="12053" width="3.5703125" style="315" customWidth="1"/>
    <col min="12054" max="12054" width="11.5703125" style="315" customWidth="1"/>
    <col min="12055" max="12055" width="3.42578125" style="315" customWidth="1"/>
    <col min="12056" max="12056" width="0.5703125" style="315" customWidth="1"/>
    <col min="12057" max="12057" width="15.85546875" style="315" customWidth="1"/>
    <col min="12058" max="12105" width="11.42578125" style="315" customWidth="1"/>
    <col min="12106" max="12288" width="11.42578125" style="315"/>
    <col min="12289" max="12289" width="0.85546875" style="315" customWidth="1"/>
    <col min="12290" max="12290" width="3.28515625" style="315" customWidth="1"/>
    <col min="12291" max="12292" width="3.7109375" style="315" customWidth="1"/>
    <col min="12293" max="12293" width="4" style="315" customWidth="1"/>
    <col min="12294" max="12294" width="0.5703125" style="315" customWidth="1"/>
    <col min="12295" max="12295" width="2.85546875" style="315" customWidth="1"/>
    <col min="12296" max="12296" width="3.42578125" style="315" customWidth="1"/>
    <col min="12297" max="12297" width="3.7109375" style="315" customWidth="1"/>
    <col min="12298" max="12298" width="3.5703125" style="315" customWidth="1"/>
    <col min="12299" max="12299" width="0.42578125" style="315" customWidth="1"/>
    <col min="12300" max="12300" width="4.28515625" style="315" customWidth="1"/>
    <col min="12301" max="12301" width="3.42578125" style="315" customWidth="1"/>
    <col min="12302" max="12302" width="0.42578125" style="315" customWidth="1"/>
    <col min="12303" max="12303" width="3.42578125" style="315" customWidth="1"/>
    <col min="12304" max="12304" width="0.42578125" style="315" customWidth="1"/>
    <col min="12305" max="12305" width="10.7109375" style="315" customWidth="1"/>
    <col min="12306" max="12306" width="4.5703125" style="315" customWidth="1"/>
    <col min="12307" max="12307" width="3.28515625" style="315" customWidth="1"/>
    <col min="12308" max="12308" width="0.5703125" style="315" customWidth="1"/>
    <col min="12309" max="12309" width="3.5703125" style="315" customWidth="1"/>
    <col min="12310" max="12310" width="11.5703125" style="315" customWidth="1"/>
    <col min="12311" max="12311" width="3.42578125" style="315" customWidth="1"/>
    <col min="12312" max="12312" width="0.5703125" style="315" customWidth="1"/>
    <col min="12313" max="12313" width="15.85546875" style="315" customWidth="1"/>
    <col min="12314" max="12361" width="11.42578125" style="315" customWidth="1"/>
    <col min="12362" max="12544" width="11.42578125" style="315"/>
    <col min="12545" max="12545" width="0.85546875" style="315" customWidth="1"/>
    <col min="12546" max="12546" width="3.28515625" style="315" customWidth="1"/>
    <col min="12547" max="12548" width="3.7109375" style="315" customWidth="1"/>
    <col min="12549" max="12549" width="4" style="315" customWidth="1"/>
    <col min="12550" max="12550" width="0.5703125" style="315" customWidth="1"/>
    <col min="12551" max="12551" width="2.85546875" style="315" customWidth="1"/>
    <col min="12552" max="12552" width="3.42578125" style="315" customWidth="1"/>
    <col min="12553" max="12553" width="3.7109375" style="315" customWidth="1"/>
    <col min="12554" max="12554" width="3.5703125" style="315" customWidth="1"/>
    <col min="12555" max="12555" width="0.42578125" style="315" customWidth="1"/>
    <col min="12556" max="12556" width="4.28515625" style="315" customWidth="1"/>
    <col min="12557" max="12557" width="3.42578125" style="315" customWidth="1"/>
    <col min="12558" max="12558" width="0.42578125" style="315" customWidth="1"/>
    <col min="12559" max="12559" width="3.42578125" style="315" customWidth="1"/>
    <col min="12560" max="12560" width="0.42578125" style="315" customWidth="1"/>
    <col min="12561" max="12561" width="10.7109375" style="315" customWidth="1"/>
    <col min="12562" max="12562" width="4.5703125" style="315" customWidth="1"/>
    <col min="12563" max="12563" width="3.28515625" style="315" customWidth="1"/>
    <col min="12564" max="12564" width="0.5703125" style="315" customWidth="1"/>
    <col min="12565" max="12565" width="3.5703125" style="315" customWidth="1"/>
    <col min="12566" max="12566" width="11.5703125" style="315" customWidth="1"/>
    <col min="12567" max="12567" width="3.42578125" style="315" customWidth="1"/>
    <col min="12568" max="12568" width="0.5703125" style="315" customWidth="1"/>
    <col min="12569" max="12569" width="15.85546875" style="315" customWidth="1"/>
    <col min="12570" max="12617" width="11.42578125" style="315" customWidth="1"/>
    <col min="12618" max="12800" width="11.42578125" style="315"/>
    <col min="12801" max="12801" width="0.85546875" style="315" customWidth="1"/>
    <col min="12802" max="12802" width="3.28515625" style="315" customWidth="1"/>
    <col min="12803" max="12804" width="3.7109375" style="315" customWidth="1"/>
    <col min="12805" max="12805" width="4" style="315" customWidth="1"/>
    <col min="12806" max="12806" width="0.5703125" style="315" customWidth="1"/>
    <col min="12807" max="12807" width="2.85546875" style="315" customWidth="1"/>
    <col min="12808" max="12808" width="3.42578125" style="315" customWidth="1"/>
    <col min="12809" max="12809" width="3.7109375" style="315" customWidth="1"/>
    <col min="12810" max="12810" width="3.5703125" style="315" customWidth="1"/>
    <col min="12811" max="12811" width="0.42578125" style="315" customWidth="1"/>
    <col min="12812" max="12812" width="4.28515625" style="315" customWidth="1"/>
    <col min="12813" max="12813" width="3.42578125" style="315" customWidth="1"/>
    <col min="12814" max="12814" width="0.42578125" style="315" customWidth="1"/>
    <col min="12815" max="12815" width="3.42578125" style="315" customWidth="1"/>
    <col min="12816" max="12816" width="0.42578125" style="315" customWidth="1"/>
    <col min="12817" max="12817" width="10.7109375" style="315" customWidth="1"/>
    <col min="12818" max="12818" width="4.5703125" style="315" customWidth="1"/>
    <col min="12819" max="12819" width="3.28515625" style="315" customWidth="1"/>
    <col min="12820" max="12820" width="0.5703125" style="315" customWidth="1"/>
    <col min="12821" max="12821" width="3.5703125" style="315" customWidth="1"/>
    <col min="12822" max="12822" width="11.5703125" style="315" customWidth="1"/>
    <col min="12823" max="12823" width="3.42578125" style="315" customWidth="1"/>
    <col min="12824" max="12824" width="0.5703125" style="315" customWidth="1"/>
    <col min="12825" max="12825" width="15.85546875" style="315" customWidth="1"/>
    <col min="12826" max="12873" width="11.42578125" style="315" customWidth="1"/>
    <col min="12874" max="13056" width="11.42578125" style="315"/>
    <col min="13057" max="13057" width="0.85546875" style="315" customWidth="1"/>
    <col min="13058" max="13058" width="3.28515625" style="315" customWidth="1"/>
    <col min="13059" max="13060" width="3.7109375" style="315" customWidth="1"/>
    <col min="13061" max="13061" width="4" style="315" customWidth="1"/>
    <col min="13062" max="13062" width="0.5703125" style="315" customWidth="1"/>
    <col min="13063" max="13063" width="2.85546875" style="315" customWidth="1"/>
    <col min="13064" max="13064" width="3.42578125" style="315" customWidth="1"/>
    <col min="13065" max="13065" width="3.7109375" style="315" customWidth="1"/>
    <col min="13066" max="13066" width="3.5703125" style="315" customWidth="1"/>
    <col min="13067" max="13067" width="0.42578125" style="315" customWidth="1"/>
    <col min="13068" max="13068" width="4.28515625" style="315" customWidth="1"/>
    <col min="13069" max="13069" width="3.42578125" style="315" customWidth="1"/>
    <col min="13070" max="13070" width="0.42578125" style="315" customWidth="1"/>
    <col min="13071" max="13071" width="3.42578125" style="315" customWidth="1"/>
    <col min="13072" max="13072" width="0.42578125" style="315" customWidth="1"/>
    <col min="13073" max="13073" width="10.7109375" style="315" customWidth="1"/>
    <col min="13074" max="13074" width="4.5703125" style="315" customWidth="1"/>
    <col min="13075" max="13075" width="3.28515625" style="315" customWidth="1"/>
    <col min="13076" max="13076" width="0.5703125" style="315" customWidth="1"/>
    <col min="13077" max="13077" width="3.5703125" style="315" customWidth="1"/>
    <col min="13078" max="13078" width="11.5703125" style="315" customWidth="1"/>
    <col min="13079" max="13079" width="3.42578125" style="315" customWidth="1"/>
    <col min="13080" max="13080" width="0.5703125" style="315" customWidth="1"/>
    <col min="13081" max="13081" width="15.85546875" style="315" customWidth="1"/>
    <col min="13082" max="13129" width="11.42578125" style="315" customWidth="1"/>
    <col min="13130" max="13312" width="11.42578125" style="315"/>
    <col min="13313" max="13313" width="0.85546875" style="315" customWidth="1"/>
    <col min="13314" max="13314" width="3.28515625" style="315" customWidth="1"/>
    <col min="13315" max="13316" width="3.7109375" style="315" customWidth="1"/>
    <col min="13317" max="13317" width="4" style="315" customWidth="1"/>
    <col min="13318" max="13318" width="0.5703125" style="315" customWidth="1"/>
    <col min="13319" max="13319" width="2.85546875" style="315" customWidth="1"/>
    <col min="13320" max="13320" width="3.42578125" style="315" customWidth="1"/>
    <col min="13321" max="13321" width="3.7109375" style="315" customWidth="1"/>
    <col min="13322" max="13322" width="3.5703125" style="315" customWidth="1"/>
    <col min="13323" max="13323" width="0.42578125" style="315" customWidth="1"/>
    <col min="13324" max="13324" width="4.28515625" style="315" customWidth="1"/>
    <col min="13325" max="13325" width="3.42578125" style="315" customWidth="1"/>
    <col min="13326" max="13326" width="0.42578125" style="315" customWidth="1"/>
    <col min="13327" max="13327" width="3.42578125" style="315" customWidth="1"/>
    <col min="13328" max="13328" width="0.42578125" style="315" customWidth="1"/>
    <col min="13329" max="13329" width="10.7109375" style="315" customWidth="1"/>
    <col min="13330" max="13330" width="4.5703125" style="315" customWidth="1"/>
    <col min="13331" max="13331" width="3.28515625" style="315" customWidth="1"/>
    <col min="13332" max="13332" width="0.5703125" style="315" customWidth="1"/>
    <col min="13333" max="13333" width="3.5703125" style="315" customWidth="1"/>
    <col min="13334" max="13334" width="11.5703125" style="315" customWidth="1"/>
    <col min="13335" max="13335" width="3.42578125" style="315" customWidth="1"/>
    <col min="13336" max="13336" width="0.5703125" style="315" customWidth="1"/>
    <col min="13337" max="13337" width="15.85546875" style="315" customWidth="1"/>
    <col min="13338" max="13385" width="11.42578125" style="315" customWidth="1"/>
    <col min="13386" max="13568" width="11.42578125" style="315"/>
    <col min="13569" max="13569" width="0.85546875" style="315" customWidth="1"/>
    <col min="13570" max="13570" width="3.28515625" style="315" customWidth="1"/>
    <col min="13571" max="13572" width="3.7109375" style="315" customWidth="1"/>
    <col min="13573" max="13573" width="4" style="315" customWidth="1"/>
    <col min="13574" max="13574" width="0.5703125" style="315" customWidth="1"/>
    <col min="13575" max="13575" width="2.85546875" style="315" customWidth="1"/>
    <col min="13576" max="13576" width="3.42578125" style="315" customWidth="1"/>
    <col min="13577" max="13577" width="3.7109375" style="315" customWidth="1"/>
    <col min="13578" max="13578" width="3.5703125" style="315" customWidth="1"/>
    <col min="13579" max="13579" width="0.42578125" style="315" customWidth="1"/>
    <col min="13580" max="13580" width="4.28515625" style="315" customWidth="1"/>
    <col min="13581" max="13581" width="3.42578125" style="315" customWidth="1"/>
    <col min="13582" max="13582" width="0.42578125" style="315" customWidth="1"/>
    <col min="13583" max="13583" width="3.42578125" style="315" customWidth="1"/>
    <col min="13584" max="13584" width="0.42578125" style="315" customWidth="1"/>
    <col min="13585" max="13585" width="10.7109375" style="315" customWidth="1"/>
    <col min="13586" max="13586" width="4.5703125" style="315" customWidth="1"/>
    <col min="13587" max="13587" width="3.28515625" style="315" customWidth="1"/>
    <col min="13588" max="13588" width="0.5703125" style="315" customWidth="1"/>
    <col min="13589" max="13589" width="3.5703125" style="315" customWidth="1"/>
    <col min="13590" max="13590" width="11.5703125" style="315" customWidth="1"/>
    <col min="13591" max="13591" width="3.42578125" style="315" customWidth="1"/>
    <col min="13592" max="13592" width="0.5703125" style="315" customWidth="1"/>
    <col min="13593" max="13593" width="15.85546875" style="315" customWidth="1"/>
    <col min="13594" max="13641" width="11.42578125" style="315" customWidth="1"/>
    <col min="13642" max="13824" width="11.42578125" style="315"/>
    <col min="13825" max="13825" width="0.85546875" style="315" customWidth="1"/>
    <col min="13826" max="13826" width="3.28515625" style="315" customWidth="1"/>
    <col min="13827" max="13828" width="3.7109375" style="315" customWidth="1"/>
    <col min="13829" max="13829" width="4" style="315" customWidth="1"/>
    <col min="13830" max="13830" width="0.5703125" style="315" customWidth="1"/>
    <col min="13831" max="13831" width="2.85546875" style="315" customWidth="1"/>
    <col min="13832" max="13832" width="3.42578125" style="315" customWidth="1"/>
    <col min="13833" max="13833" width="3.7109375" style="315" customWidth="1"/>
    <col min="13834" max="13834" width="3.5703125" style="315" customWidth="1"/>
    <col min="13835" max="13835" width="0.42578125" style="315" customWidth="1"/>
    <col min="13836" max="13836" width="4.28515625" style="315" customWidth="1"/>
    <col min="13837" max="13837" width="3.42578125" style="315" customWidth="1"/>
    <col min="13838" max="13838" width="0.42578125" style="315" customWidth="1"/>
    <col min="13839" max="13839" width="3.42578125" style="315" customWidth="1"/>
    <col min="13840" max="13840" width="0.42578125" style="315" customWidth="1"/>
    <col min="13841" max="13841" width="10.7109375" style="315" customWidth="1"/>
    <col min="13842" max="13842" width="4.5703125" style="315" customWidth="1"/>
    <col min="13843" max="13843" width="3.28515625" style="315" customWidth="1"/>
    <col min="13844" max="13844" width="0.5703125" style="315" customWidth="1"/>
    <col min="13845" max="13845" width="3.5703125" style="315" customWidth="1"/>
    <col min="13846" max="13846" width="11.5703125" style="315" customWidth="1"/>
    <col min="13847" max="13847" width="3.42578125" style="315" customWidth="1"/>
    <col min="13848" max="13848" width="0.5703125" style="315" customWidth="1"/>
    <col min="13849" max="13849" width="15.85546875" style="315" customWidth="1"/>
    <col min="13850" max="13897" width="11.42578125" style="315" customWidth="1"/>
    <col min="13898" max="14080" width="11.42578125" style="315"/>
    <col min="14081" max="14081" width="0.85546875" style="315" customWidth="1"/>
    <col min="14082" max="14082" width="3.28515625" style="315" customWidth="1"/>
    <col min="14083" max="14084" width="3.7109375" style="315" customWidth="1"/>
    <col min="14085" max="14085" width="4" style="315" customWidth="1"/>
    <col min="14086" max="14086" width="0.5703125" style="315" customWidth="1"/>
    <col min="14087" max="14087" width="2.85546875" style="315" customWidth="1"/>
    <col min="14088" max="14088" width="3.42578125" style="315" customWidth="1"/>
    <col min="14089" max="14089" width="3.7109375" style="315" customWidth="1"/>
    <col min="14090" max="14090" width="3.5703125" style="315" customWidth="1"/>
    <col min="14091" max="14091" width="0.42578125" style="315" customWidth="1"/>
    <col min="14092" max="14092" width="4.28515625" style="315" customWidth="1"/>
    <col min="14093" max="14093" width="3.42578125" style="315" customWidth="1"/>
    <col min="14094" max="14094" width="0.42578125" style="315" customWidth="1"/>
    <col min="14095" max="14095" width="3.42578125" style="315" customWidth="1"/>
    <col min="14096" max="14096" width="0.42578125" style="315" customWidth="1"/>
    <col min="14097" max="14097" width="10.7109375" style="315" customWidth="1"/>
    <col min="14098" max="14098" width="4.5703125" style="315" customWidth="1"/>
    <col min="14099" max="14099" width="3.28515625" style="315" customWidth="1"/>
    <col min="14100" max="14100" width="0.5703125" style="315" customWidth="1"/>
    <col min="14101" max="14101" width="3.5703125" style="315" customWidth="1"/>
    <col min="14102" max="14102" width="11.5703125" style="315" customWidth="1"/>
    <col min="14103" max="14103" width="3.42578125" style="315" customWidth="1"/>
    <col min="14104" max="14104" width="0.5703125" style="315" customWidth="1"/>
    <col min="14105" max="14105" width="15.85546875" style="315" customWidth="1"/>
    <col min="14106" max="14153" width="11.42578125" style="315" customWidth="1"/>
    <col min="14154" max="14336" width="11.42578125" style="315"/>
    <col min="14337" max="14337" width="0.85546875" style="315" customWidth="1"/>
    <col min="14338" max="14338" width="3.28515625" style="315" customWidth="1"/>
    <col min="14339" max="14340" width="3.7109375" style="315" customWidth="1"/>
    <col min="14341" max="14341" width="4" style="315" customWidth="1"/>
    <col min="14342" max="14342" width="0.5703125" style="315" customWidth="1"/>
    <col min="14343" max="14343" width="2.85546875" style="315" customWidth="1"/>
    <col min="14344" max="14344" width="3.42578125" style="315" customWidth="1"/>
    <col min="14345" max="14345" width="3.7109375" style="315" customWidth="1"/>
    <col min="14346" max="14346" width="3.5703125" style="315" customWidth="1"/>
    <col min="14347" max="14347" width="0.42578125" style="315" customWidth="1"/>
    <col min="14348" max="14348" width="4.28515625" style="315" customWidth="1"/>
    <col min="14349" max="14349" width="3.42578125" style="315" customWidth="1"/>
    <col min="14350" max="14350" width="0.42578125" style="315" customWidth="1"/>
    <col min="14351" max="14351" width="3.42578125" style="315" customWidth="1"/>
    <col min="14352" max="14352" width="0.42578125" style="315" customWidth="1"/>
    <col min="14353" max="14353" width="10.7109375" style="315" customWidth="1"/>
    <col min="14354" max="14354" width="4.5703125" style="315" customWidth="1"/>
    <col min="14355" max="14355" width="3.28515625" style="315" customWidth="1"/>
    <col min="14356" max="14356" width="0.5703125" style="315" customWidth="1"/>
    <col min="14357" max="14357" width="3.5703125" style="315" customWidth="1"/>
    <col min="14358" max="14358" width="11.5703125" style="315" customWidth="1"/>
    <col min="14359" max="14359" width="3.42578125" style="315" customWidth="1"/>
    <col min="14360" max="14360" width="0.5703125" style="315" customWidth="1"/>
    <col min="14361" max="14361" width="15.85546875" style="315" customWidth="1"/>
    <col min="14362" max="14409" width="11.42578125" style="315" customWidth="1"/>
    <col min="14410" max="14592" width="11.42578125" style="315"/>
    <col min="14593" max="14593" width="0.85546875" style="315" customWidth="1"/>
    <col min="14594" max="14594" width="3.28515625" style="315" customWidth="1"/>
    <col min="14595" max="14596" width="3.7109375" style="315" customWidth="1"/>
    <col min="14597" max="14597" width="4" style="315" customWidth="1"/>
    <col min="14598" max="14598" width="0.5703125" style="315" customWidth="1"/>
    <col min="14599" max="14599" width="2.85546875" style="315" customWidth="1"/>
    <col min="14600" max="14600" width="3.42578125" style="315" customWidth="1"/>
    <col min="14601" max="14601" width="3.7109375" style="315" customWidth="1"/>
    <col min="14602" max="14602" width="3.5703125" style="315" customWidth="1"/>
    <col min="14603" max="14603" width="0.42578125" style="315" customWidth="1"/>
    <col min="14604" max="14604" width="4.28515625" style="315" customWidth="1"/>
    <col min="14605" max="14605" width="3.42578125" style="315" customWidth="1"/>
    <col min="14606" max="14606" width="0.42578125" style="315" customWidth="1"/>
    <col min="14607" max="14607" width="3.42578125" style="315" customWidth="1"/>
    <col min="14608" max="14608" width="0.42578125" style="315" customWidth="1"/>
    <col min="14609" max="14609" width="10.7109375" style="315" customWidth="1"/>
    <col min="14610" max="14610" width="4.5703125" style="315" customWidth="1"/>
    <col min="14611" max="14611" width="3.28515625" style="315" customWidth="1"/>
    <col min="14612" max="14612" width="0.5703125" style="315" customWidth="1"/>
    <col min="14613" max="14613" width="3.5703125" style="315" customWidth="1"/>
    <col min="14614" max="14614" width="11.5703125" style="315" customWidth="1"/>
    <col min="14615" max="14615" width="3.42578125" style="315" customWidth="1"/>
    <col min="14616" max="14616" width="0.5703125" style="315" customWidth="1"/>
    <col min="14617" max="14617" width="15.85546875" style="315" customWidth="1"/>
    <col min="14618" max="14665" width="11.42578125" style="315" customWidth="1"/>
    <col min="14666" max="14848" width="11.42578125" style="315"/>
    <col min="14849" max="14849" width="0.85546875" style="315" customWidth="1"/>
    <col min="14850" max="14850" width="3.28515625" style="315" customWidth="1"/>
    <col min="14851" max="14852" width="3.7109375" style="315" customWidth="1"/>
    <col min="14853" max="14853" width="4" style="315" customWidth="1"/>
    <col min="14854" max="14854" width="0.5703125" style="315" customWidth="1"/>
    <col min="14855" max="14855" width="2.85546875" style="315" customWidth="1"/>
    <col min="14856" max="14856" width="3.42578125" style="315" customWidth="1"/>
    <col min="14857" max="14857" width="3.7109375" style="315" customWidth="1"/>
    <col min="14858" max="14858" width="3.5703125" style="315" customWidth="1"/>
    <col min="14859" max="14859" width="0.42578125" style="315" customWidth="1"/>
    <col min="14860" max="14860" width="4.28515625" style="315" customWidth="1"/>
    <col min="14861" max="14861" width="3.42578125" style="315" customWidth="1"/>
    <col min="14862" max="14862" width="0.42578125" style="315" customWidth="1"/>
    <col min="14863" max="14863" width="3.42578125" style="315" customWidth="1"/>
    <col min="14864" max="14864" width="0.42578125" style="315" customWidth="1"/>
    <col min="14865" max="14865" width="10.7109375" style="315" customWidth="1"/>
    <col min="14866" max="14866" width="4.5703125" style="315" customWidth="1"/>
    <col min="14867" max="14867" width="3.28515625" style="315" customWidth="1"/>
    <col min="14868" max="14868" width="0.5703125" style="315" customWidth="1"/>
    <col min="14869" max="14869" width="3.5703125" style="315" customWidth="1"/>
    <col min="14870" max="14870" width="11.5703125" style="315" customWidth="1"/>
    <col min="14871" max="14871" width="3.42578125" style="315" customWidth="1"/>
    <col min="14872" max="14872" width="0.5703125" style="315" customWidth="1"/>
    <col min="14873" max="14873" width="15.85546875" style="315" customWidth="1"/>
    <col min="14874" max="14921" width="11.42578125" style="315" customWidth="1"/>
    <col min="14922" max="15104" width="11.42578125" style="315"/>
    <col min="15105" max="15105" width="0.85546875" style="315" customWidth="1"/>
    <col min="15106" max="15106" width="3.28515625" style="315" customWidth="1"/>
    <col min="15107" max="15108" width="3.7109375" style="315" customWidth="1"/>
    <col min="15109" max="15109" width="4" style="315" customWidth="1"/>
    <col min="15110" max="15110" width="0.5703125" style="315" customWidth="1"/>
    <col min="15111" max="15111" width="2.85546875" style="315" customWidth="1"/>
    <col min="15112" max="15112" width="3.42578125" style="315" customWidth="1"/>
    <col min="15113" max="15113" width="3.7109375" style="315" customWidth="1"/>
    <col min="15114" max="15114" width="3.5703125" style="315" customWidth="1"/>
    <col min="15115" max="15115" width="0.42578125" style="315" customWidth="1"/>
    <col min="15116" max="15116" width="4.28515625" style="315" customWidth="1"/>
    <col min="15117" max="15117" width="3.42578125" style="315" customWidth="1"/>
    <col min="15118" max="15118" width="0.42578125" style="315" customWidth="1"/>
    <col min="15119" max="15119" width="3.42578125" style="315" customWidth="1"/>
    <col min="15120" max="15120" width="0.42578125" style="315" customWidth="1"/>
    <col min="15121" max="15121" width="10.7109375" style="315" customWidth="1"/>
    <col min="15122" max="15122" width="4.5703125" style="315" customWidth="1"/>
    <col min="15123" max="15123" width="3.28515625" style="315" customWidth="1"/>
    <col min="15124" max="15124" width="0.5703125" style="315" customWidth="1"/>
    <col min="15125" max="15125" width="3.5703125" style="315" customWidth="1"/>
    <col min="15126" max="15126" width="11.5703125" style="315" customWidth="1"/>
    <col min="15127" max="15127" width="3.42578125" style="315" customWidth="1"/>
    <col min="15128" max="15128" width="0.5703125" style="315" customWidth="1"/>
    <col min="15129" max="15129" width="15.85546875" style="315" customWidth="1"/>
    <col min="15130" max="15177" width="11.42578125" style="315" customWidth="1"/>
    <col min="15178" max="15360" width="11.42578125" style="315"/>
    <col min="15361" max="15361" width="0.85546875" style="315" customWidth="1"/>
    <col min="15362" max="15362" width="3.28515625" style="315" customWidth="1"/>
    <col min="15363" max="15364" width="3.7109375" style="315" customWidth="1"/>
    <col min="15365" max="15365" width="4" style="315" customWidth="1"/>
    <col min="15366" max="15366" width="0.5703125" style="315" customWidth="1"/>
    <col min="15367" max="15367" width="2.85546875" style="315" customWidth="1"/>
    <col min="15368" max="15368" width="3.42578125" style="315" customWidth="1"/>
    <col min="15369" max="15369" width="3.7109375" style="315" customWidth="1"/>
    <col min="15370" max="15370" width="3.5703125" style="315" customWidth="1"/>
    <col min="15371" max="15371" width="0.42578125" style="315" customWidth="1"/>
    <col min="15372" max="15372" width="4.28515625" style="315" customWidth="1"/>
    <col min="15373" max="15373" width="3.42578125" style="315" customWidth="1"/>
    <col min="15374" max="15374" width="0.42578125" style="315" customWidth="1"/>
    <col min="15375" max="15375" width="3.42578125" style="315" customWidth="1"/>
    <col min="15376" max="15376" width="0.42578125" style="315" customWidth="1"/>
    <col min="15377" max="15377" width="10.7109375" style="315" customWidth="1"/>
    <col min="15378" max="15378" width="4.5703125" style="315" customWidth="1"/>
    <col min="15379" max="15379" width="3.28515625" style="315" customWidth="1"/>
    <col min="15380" max="15380" width="0.5703125" style="315" customWidth="1"/>
    <col min="15381" max="15381" width="3.5703125" style="315" customWidth="1"/>
    <col min="15382" max="15382" width="11.5703125" style="315" customWidth="1"/>
    <col min="15383" max="15383" width="3.42578125" style="315" customWidth="1"/>
    <col min="15384" max="15384" width="0.5703125" style="315" customWidth="1"/>
    <col min="15385" max="15385" width="15.85546875" style="315" customWidth="1"/>
    <col min="15386" max="15433" width="11.42578125" style="315" customWidth="1"/>
    <col min="15434" max="15616" width="11.42578125" style="315"/>
    <col min="15617" max="15617" width="0.85546875" style="315" customWidth="1"/>
    <col min="15618" max="15618" width="3.28515625" style="315" customWidth="1"/>
    <col min="15619" max="15620" width="3.7109375" style="315" customWidth="1"/>
    <col min="15621" max="15621" width="4" style="315" customWidth="1"/>
    <col min="15622" max="15622" width="0.5703125" style="315" customWidth="1"/>
    <col min="15623" max="15623" width="2.85546875" style="315" customWidth="1"/>
    <col min="15624" max="15624" width="3.42578125" style="315" customWidth="1"/>
    <col min="15625" max="15625" width="3.7109375" style="315" customWidth="1"/>
    <col min="15626" max="15626" width="3.5703125" style="315" customWidth="1"/>
    <col min="15627" max="15627" width="0.42578125" style="315" customWidth="1"/>
    <col min="15628" max="15628" width="4.28515625" style="315" customWidth="1"/>
    <col min="15629" max="15629" width="3.42578125" style="315" customWidth="1"/>
    <col min="15630" max="15630" width="0.42578125" style="315" customWidth="1"/>
    <col min="15631" max="15631" width="3.42578125" style="315" customWidth="1"/>
    <col min="15632" max="15632" width="0.42578125" style="315" customWidth="1"/>
    <col min="15633" max="15633" width="10.7109375" style="315" customWidth="1"/>
    <col min="15634" max="15634" width="4.5703125" style="315" customWidth="1"/>
    <col min="15635" max="15635" width="3.28515625" style="315" customWidth="1"/>
    <col min="15636" max="15636" width="0.5703125" style="315" customWidth="1"/>
    <col min="15637" max="15637" width="3.5703125" style="315" customWidth="1"/>
    <col min="15638" max="15638" width="11.5703125" style="315" customWidth="1"/>
    <col min="15639" max="15639" width="3.42578125" style="315" customWidth="1"/>
    <col min="15640" max="15640" width="0.5703125" style="315" customWidth="1"/>
    <col min="15641" max="15641" width="15.85546875" style="315" customWidth="1"/>
    <col min="15642" max="15689" width="11.42578125" style="315" customWidth="1"/>
    <col min="15690" max="15872" width="11.42578125" style="315"/>
    <col min="15873" max="15873" width="0.85546875" style="315" customWidth="1"/>
    <col min="15874" max="15874" width="3.28515625" style="315" customWidth="1"/>
    <col min="15875" max="15876" width="3.7109375" style="315" customWidth="1"/>
    <col min="15877" max="15877" width="4" style="315" customWidth="1"/>
    <col min="15878" max="15878" width="0.5703125" style="315" customWidth="1"/>
    <col min="15879" max="15879" width="2.85546875" style="315" customWidth="1"/>
    <col min="15880" max="15880" width="3.42578125" style="315" customWidth="1"/>
    <col min="15881" max="15881" width="3.7109375" style="315" customWidth="1"/>
    <col min="15882" max="15882" width="3.5703125" style="315" customWidth="1"/>
    <col min="15883" max="15883" width="0.42578125" style="315" customWidth="1"/>
    <col min="15884" max="15884" width="4.28515625" style="315" customWidth="1"/>
    <col min="15885" max="15885" width="3.42578125" style="315" customWidth="1"/>
    <col min="15886" max="15886" width="0.42578125" style="315" customWidth="1"/>
    <col min="15887" max="15887" width="3.42578125" style="315" customWidth="1"/>
    <col min="15888" max="15888" width="0.42578125" style="315" customWidth="1"/>
    <col min="15889" max="15889" width="10.7109375" style="315" customWidth="1"/>
    <col min="15890" max="15890" width="4.5703125" style="315" customWidth="1"/>
    <col min="15891" max="15891" width="3.28515625" style="315" customWidth="1"/>
    <col min="15892" max="15892" width="0.5703125" style="315" customWidth="1"/>
    <col min="15893" max="15893" width="3.5703125" style="315" customWidth="1"/>
    <col min="15894" max="15894" width="11.5703125" style="315" customWidth="1"/>
    <col min="15895" max="15895" width="3.42578125" style="315" customWidth="1"/>
    <col min="15896" max="15896" width="0.5703125" style="315" customWidth="1"/>
    <col min="15897" max="15897" width="15.85546875" style="315" customWidth="1"/>
    <col min="15898" max="15945" width="11.42578125" style="315" customWidth="1"/>
    <col min="15946" max="16128" width="11.42578125" style="315"/>
    <col min="16129" max="16129" width="0.85546875" style="315" customWidth="1"/>
    <col min="16130" max="16130" width="3.28515625" style="315" customWidth="1"/>
    <col min="16131" max="16132" width="3.7109375" style="315" customWidth="1"/>
    <col min="16133" max="16133" width="4" style="315" customWidth="1"/>
    <col min="16134" max="16134" width="0.5703125" style="315" customWidth="1"/>
    <col min="16135" max="16135" width="2.85546875" style="315" customWidth="1"/>
    <col min="16136" max="16136" width="3.42578125" style="315" customWidth="1"/>
    <col min="16137" max="16137" width="3.7109375" style="315" customWidth="1"/>
    <col min="16138" max="16138" width="3.5703125" style="315" customWidth="1"/>
    <col min="16139" max="16139" width="0.42578125" style="315" customWidth="1"/>
    <col min="16140" max="16140" width="4.28515625" style="315" customWidth="1"/>
    <col min="16141" max="16141" width="3.42578125" style="315" customWidth="1"/>
    <col min="16142" max="16142" width="0.42578125" style="315" customWidth="1"/>
    <col min="16143" max="16143" width="3.42578125" style="315" customWidth="1"/>
    <col min="16144" max="16144" width="0.42578125" style="315" customWidth="1"/>
    <col min="16145" max="16145" width="10.7109375" style="315" customWidth="1"/>
    <col min="16146" max="16146" width="4.5703125" style="315" customWidth="1"/>
    <col min="16147" max="16147" width="3.28515625" style="315" customWidth="1"/>
    <col min="16148" max="16148" width="0.5703125" style="315" customWidth="1"/>
    <col min="16149" max="16149" width="3.5703125" style="315" customWidth="1"/>
    <col min="16150" max="16150" width="11.5703125" style="315" customWidth="1"/>
    <col min="16151" max="16151" width="3.42578125" style="315" customWidth="1"/>
    <col min="16152" max="16152" width="0.5703125" style="315" customWidth="1"/>
    <col min="16153" max="16153" width="15.85546875" style="315" customWidth="1"/>
    <col min="16154" max="16201" width="11.42578125" style="315" customWidth="1"/>
    <col min="16202" max="16384" width="11.42578125" style="315"/>
  </cols>
  <sheetData>
    <row r="1" spans="2:73" s="717" customFormat="1" ht="11.85" customHeight="1">
      <c r="B1" s="711"/>
      <c r="C1" s="711"/>
      <c r="D1" s="711"/>
      <c r="E1" s="711"/>
      <c r="F1" s="711"/>
      <c r="G1" s="711"/>
      <c r="H1" s="711"/>
      <c r="I1" s="711"/>
      <c r="J1" s="712"/>
      <c r="K1" s="712"/>
      <c r="L1" s="712"/>
      <c r="M1" s="712"/>
      <c r="N1" s="712"/>
      <c r="O1" s="712"/>
      <c r="P1" s="713"/>
      <c r="Q1" s="714" t="s">
        <v>512</v>
      </c>
      <c r="R1" s="713"/>
      <c r="S1" s="715"/>
      <c r="T1" s="713"/>
      <c r="U1" s="714" t="s">
        <v>513</v>
      </c>
      <c r="V1" s="713"/>
      <c r="W1" s="713"/>
      <c r="X1" s="713"/>
      <c r="Y1" s="715"/>
      <c r="Z1" s="716"/>
      <c r="AA1" s="716"/>
      <c r="AB1" s="716"/>
      <c r="AC1" s="716"/>
      <c r="AD1" s="716"/>
      <c r="AE1" s="716"/>
      <c r="AF1" s="716"/>
      <c r="AG1" s="716"/>
      <c r="AH1" s="716"/>
      <c r="AI1" s="716"/>
      <c r="AJ1" s="716"/>
      <c r="AK1" s="716"/>
      <c r="AL1" s="716"/>
      <c r="AM1" s="716"/>
      <c r="AN1" s="716"/>
      <c r="AO1" s="716"/>
      <c r="AP1" s="716"/>
      <c r="AQ1" s="716"/>
      <c r="AR1" s="716"/>
      <c r="AS1" s="716"/>
      <c r="AT1" s="716"/>
      <c r="AU1" s="716"/>
      <c r="AV1" s="716"/>
      <c r="AW1" s="716"/>
      <c r="AX1" s="716"/>
      <c r="AY1" s="716"/>
      <c r="AZ1" s="716"/>
      <c r="BA1" s="716"/>
      <c r="BB1" s="716"/>
      <c r="BC1" s="716"/>
      <c r="BD1" s="716"/>
      <c r="BE1" s="716"/>
      <c r="BF1" s="716"/>
      <c r="BG1" s="716"/>
      <c r="BH1" s="716"/>
      <c r="BI1" s="716"/>
      <c r="BJ1" s="716"/>
      <c r="BK1" s="716"/>
      <c r="BL1" s="716"/>
      <c r="BM1" s="716"/>
      <c r="BN1" s="716"/>
      <c r="BO1" s="716"/>
      <c r="BP1" s="716"/>
      <c r="BQ1" s="716"/>
      <c r="BR1" s="716"/>
      <c r="BS1" s="716"/>
      <c r="BT1" s="716"/>
      <c r="BU1" s="716"/>
    </row>
    <row r="2" spans="2:73" ht="11.85" customHeight="1">
      <c r="B2" s="712"/>
      <c r="C2" s="712"/>
      <c r="D2" s="712"/>
      <c r="E2" s="712"/>
      <c r="F2" s="712"/>
      <c r="G2" s="712"/>
      <c r="H2" s="712"/>
      <c r="I2" s="712"/>
      <c r="J2" s="712"/>
      <c r="K2" s="712"/>
      <c r="L2" s="712"/>
      <c r="M2" s="712"/>
      <c r="N2" s="712"/>
      <c r="O2" s="712"/>
      <c r="P2" s="333"/>
      <c r="Q2" s="718">
        <f>[2]Orçamento!H7</f>
        <v>0</v>
      </c>
      <c r="R2" s="719"/>
      <c r="S2" s="720"/>
      <c r="T2" s="333"/>
      <c r="U2" s="721">
        <f>[2]Orçamento!J7</f>
        <v>0</v>
      </c>
      <c r="V2" s="719"/>
      <c r="W2" s="719"/>
      <c r="X2" s="719"/>
      <c r="Y2" s="722"/>
    </row>
    <row r="3" spans="2:73" ht="7.5" customHeight="1">
      <c r="B3" s="724"/>
      <c r="C3" s="724"/>
      <c r="D3" s="724"/>
      <c r="E3" s="724"/>
      <c r="F3" s="724"/>
      <c r="G3" s="724"/>
      <c r="H3" s="724"/>
      <c r="I3" s="724"/>
      <c r="J3" s="725"/>
      <c r="K3" s="725"/>
      <c r="L3" s="725"/>
      <c r="M3" s="725"/>
      <c r="N3" s="725"/>
      <c r="O3" s="725"/>
      <c r="P3" s="334"/>
      <c r="Q3" s="334"/>
      <c r="R3" s="334"/>
      <c r="S3" s="334"/>
      <c r="T3" s="334"/>
      <c r="U3" s="334"/>
      <c r="V3" s="334"/>
      <c r="W3" s="334"/>
      <c r="X3" s="334"/>
      <c r="Y3" s="334"/>
    </row>
    <row r="4" spans="2:73" s="717" customFormat="1" ht="4.5" customHeight="1">
      <c r="B4" s="726"/>
      <c r="C4" s="726"/>
      <c r="D4" s="726"/>
      <c r="E4" s="727"/>
      <c r="F4" s="726"/>
      <c r="G4" s="728"/>
      <c r="H4" s="726"/>
      <c r="I4" s="726"/>
      <c r="K4" s="726"/>
      <c r="L4" s="726"/>
      <c r="M4" s="726"/>
      <c r="N4" s="726"/>
      <c r="O4" s="726"/>
      <c r="P4" s="726"/>
      <c r="Q4" s="726"/>
      <c r="R4" s="726"/>
      <c r="T4" s="726"/>
      <c r="U4" s="726"/>
      <c r="W4" s="726"/>
      <c r="X4" s="726"/>
      <c r="Y4" s="726"/>
      <c r="Z4" s="716"/>
      <c r="AA4" s="716"/>
      <c r="AB4" s="716"/>
      <c r="AC4" s="716"/>
      <c r="AD4" s="716"/>
      <c r="AE4" s="716"/>
      <c r="AF4" s="716"/>
      <c r="AG4" s="716"/>
      <c r="AH4" s="716"/>
      <c r="AI4" s="716"/>
      <c r="AJ4" s="716"/>
      <c r="AK4" s="716"/>
      <c r="AL4" s="716"/>
      <c r="AM4" s="716"/>
      <c r="AN4" s="716"/>
      <c r="AO4" s="716"/>
      <c r="AP4" s="716"/>
      <c r="AQ4" s="716"/>
      <c r="AR4" s="716"/>
      <c r="AS4" s="716"/>
      <c r="AT4" s="716"/>
      <c r="AU4" s="716"/>
      <c r="AV4" s="716"/>
      <c r="AW4" s="716"/>
      <c r="AX4" s="716"/>
      <c r="AY4" s="716"/>
      <c r="AZ4" s="716"/>
      <c r="BA4" s="716"/>
      <c r="BB4" s="716"/>
      <c r="BC4" s="716"/>
      <c r="BD4" s="716"/>
      <c r="BE4" s="716"/>
      <c r="BF4" s="716"/>
      <c r="BG4" s="716"/>
      <c r="BH4" s="716"/>
      <c r="BI4" s="716"/>
      <c r="BJ4" s="716"/>
      <c r="BK4" s="716"/>
      <c r="BL4" s="716"/>
      <c r="BM4" s="716"/>
      <c r="BN4" s="716"/>
      <c r="BO4" s="716"/>
      <c r="BP4" s="716"/>
      <c r="BQ4" s="716"/>
      <c r="BR4" s="716"/>
      <c r="BS4" s="716"/>
      <c r="BT4" s="716"/>
      <c r="BU4" s="716"/>
    </row>
    <row r="5" spans="2:73" s="723" customFormat="1">
      <c r="B5" s="729" t="s">
        <v>1004</v>
      </c>
      <c r="C5" s="728"/>
      <c r="D5" s="728"/>
      <c r="E5" s="728"/>
      <c r="F5" s="728"/>
      <c r="G5" s="728"/>
      <c r="H5" s="728"/>
      <c r="I5" s="728"/>
      <c r="J5" s="728"/>
      <c r="K5" s="728"/>
      <c r="L5" s="728"/>
      <c r="M5" s="728"/>
      <c r="N5" s="728"/>
      <c r="O5" s="728"/>
      <c r="P5" s="728"/>
      <c r="R5" s="730"/>
      <c r="T5" s="728"/>
      <c r="U5" s="728"/>
      <c r="V5" s="728"/>
      <c r="W5" s="728"/>
      <c r="X5" s="728"/>
      <c r="Y5" s="728"/>
    </row>
    <row r="6" spans="2:73" s="723" customFormat="1" ht="3" customHeight="1">
      <c r="B6" s="731"/>
      <c r="C6" s="728"/>
      <c r="D6" s="728"/>
      <c r="E6" s="728"/>
      <c r="F6" s="728"/>
      <c r="G6" s="728"/>
      <c r="H6" s="728"/>
      <c r="I6" s="728"/>
      <c r="J6" s="728"/>
      <c r="K6" s="728"/>
      <c r="L6" s="728"/>
      <c r="M6" s="728"/>
      <c r="N6" s="728"/>
      <c r="O6" s="728"/>
      <c r="P6" s="728"/>
      <c r="R6" s="728"/>
      <c r="T6" s="728"/>
      <c r="U6" s="728"/>
      <c r="V6" s="728"/>
      <c r="W6" s="728"/>
      <c r="X6" s="728"/>
      <c r="Y6" s="728"/>
    </row>
    <row r="7" spans="2:73" s="717" customFormat="1" ht="11.85" customHeight="1">
      <c r="B7" s="726"/>
      <c r="C7" s="726"/>
      <c r="D7" s="726"/>
      <c r="E7" s="726"/>
      <c r="F7" s="726"/>
      <c r="G7" s="726"/>
      <c r="H7" s="726"/>
      <c r="I7" s="726"/>
      <c r="K7" s="726"/>
      <c r="L7" s="726"/>
      <c r="M7" s="726"/>
      <c r="N7" s="726"/>
      <c r="O7" s="726"/>
      <c r="P7" s="726"/>
      <c r="R7" s="732">
        <f>[2]Orçamento!I10</f>
        <v>0</v>
      </c>
      <c r="T7" s="726"/>
      <c r="U7" s="733"/>
      <c r="W7" s="726"/>
      <c r="X7" s="726"/>
      <c r="Y7" s="726"/>
      <c r="Z7" s="716"/>
      <c r="AA7" s="716"/>
      <c r="AB7" s="716"/>
      <c r="AC7" s="716"/>
      <c r="AD7" s="716"/>
      <c r="AE7" s="716"/>
      <c r="AF7" s="716"/>
      <c r="AG7" s="716"/>
      <c r="AH7" s="716"/>
      <c r="AI7" s="716"/>
      <c r="AJ7" s="716"/>
      <c r="AK7" s="716"/>
      <c r="AL7" s="716"/>
      <c r="AM7" s="716"/>
      <c r="AN7" s="716"/>
      <c r="AO7" s="716"/>
      <c r="AP7" s="716"/>
      <c r="AQ7" s="716"/>
      <c r="AR7" s="716"/>
      <c r="AS7" s="716"/>
      <c r="AT7" s="716"/>
      <c r="AU7" s="716"/>
      <c r="AV7" s="716"/>
      <c r="AW7" s="716"/>
      <c r="AX7" s="716"/>
      <c r="AY7" s="716"/>
      <c r="AZ7" s="716"/>
      <c r="BA7" s="716"/>
      <c r="BB7" s="716"/>
      <c r="BC7" s="716"/>
      <c r="BD7" s="716"/>
      <c r="BE7" s="716"/>
      <c r="BF7" s="716"/>
      <c r="BG7" s="716"/>
      <c r="BH7" s="716"/>
      <c r="BI7" s="716"/>
      <c r="BJ7" s="716"/>
      <c r="BK7" s="716"/>
      <c r="BL7" s="716"/>
      <c r="BM7" s="716"/>
      <c r="BN7" s="716"/>
      <c r="BO7" s="716"/>
      <c r="BP7" s="716"/>
      <c r="BQ7" s="716"/>
      <c r="BR7" s="716"/>
      <c r="BS7" s="716"/>
      <c r="BT7" s="716"/>
      <c r="BU7" s="716"/>
    </row>
    <row r="8" spans="2:73" s="717" customFormat="1" ht="3" customHeight="1">
      <c r="B8" s="726"/>
      <c r="C8" s="726"/>
      <c r="D8" s="726"/>
      <c r="E8" s="726"/>
      <c r="F8" s="726"/>
      <c r="G8" s="726"/>
      <c r="H8" s="726"/>
      <c r="I8" s="726"/>
      <c r="K8" s="726"/>
      <c r="L8" s="726"/>
      <c r="M8" s="726"/>
      <c r="N8" s="726"/>
      <c r="O8" s="726"/>
      <c r="P8" s="726"/>
      <c r="Q8" s="726"/>
      <c r="R8" s="726"/>
      <c r="T8" s="726"/>
      <c r="U8" s="733"/>
      <c r="V8" s="734"/>
      <c r="W8" s="726"/>
      <c r="X8" s="726"/>
      <c r="Y8" s="726"/>
      <c r="Z8" s="716"/>
      <c r="AA8" s="716"/>
      <c r="AB8" s="716"/>
      <c r="AC8" s="716"/>
      <c r="AD8" s="716"/>
      <c r="AE8" s="716"/>
      <c r="AF8" s="716"/>
      <c r="AG8" s="716"/>
      <c r="AH8" s="716"/>
      <c r="AI8" s="716"/>
      <c r="AJ8" s="716"/>
      <c r="AK8" s="716"/>
      <c r="AL8" s="716"/>
      <c r="AM8" s="716"/>
      <c r="AN8" s="716"/>
      <c r="AO8" s="716"/>
      <c r="AP8" s="716"/>
      <c r="AQ8" s="716"/>
      <c r="AR8" s="716"/>
      <c r="AS8" s="716"/>
      <c r="AT8" s="716"/>
      <c r="AU8" s="716"/>
      <c r="AV8" s="716"/>
      <c r="AW8" s="716"/>
      <c r="AX8" s="716"/>
      <c r="AY8" s="716"/>
      <c r="AZ8" s="716"/>
      <c r="BA8" s="716"/>
      <c r="BB8" s="716"/>
      <c r="BC8" s="716"/>
      <c r="BD8" s="716"/>
      <c r="BE8" s="716"/>
      <c r="BF8" s="716"/>
      <c r="BG8" s="716"/>
      <c r="BH8" s="716"/>
      <c r="BI8" s="716"/>
      <c r="BJ8" s="716"/>
      <c r="BK8" s="716"/>
      <c r="BL8" s="716"/>
      <c r="BM8" s="716"/>
      <c r="BN8" s="716"/>
      <c r="BO8" s="716"/>
      <c r="BP8" s="716"/>
      <c r="BQ8" s="716"/>
      <c r="BR8" s="716"/>
      <c r="BS8" s="716"/>
      <c r="BT8" s="716"/>
      <c r="BU8" s="716"/>
    </row>
    <row r="9" spans="2:73" ht="12" customHeight="1">
      <c r="B9" s="735" t="s">
        <v>912</v>
      </c>
      <c r="C9" s="736"/>
      <c r="D9" s="736"/>
      <c r="E9" s="736"/>
      <c r="F9" s="736"/>
      <c r="G9" s="736"/>
      <c r="M9" s="333"/>
      <c r="N9" s="333"/>
      <c r="O9" s="333"/>
      <c r="P9" s="333"/>
      <c r="R9" s="333"/>
      <c r="S9" s="333"/>
      <c r="T9" s="333"/>
    </row>
    <row r="10" spans="2:73" ht="3" customHeight="1">
      <c r="M10" s="333"/>
      <c r="N10" s="333"/>
      <c r="O10" s="333"/>
      <c r="P10" s="333"/>
      <c r="R10" s="333"/>
      <c r="S10" s="333"/>
      <c r="T10" s="333"/>
      <c r="U10" s="333"/>
      <c r="V10" s="333"/>
      <c r="W10" s="333"/>
      <c r="X10" s="333"/>
      <c r="Y10" s="333"/>
    </row>
    <row r="11" spans="2:73" s="717" customFormat="1" ht="9" customHeight="1">
      <c r="B11" s="714" t="s">
        <v>914</v>
      </c>
      <c r="C11" s="713"/>
      <c r="D11" s="713"/>
      <c r="E11" s="315"/>
      <c r="F11" s="315"/>
      <c r="G11" s="315"/>
      <c r="H11" s="713"/>
      <c r="I11" s="713"/>
      <c r="J11" s="713"/>
      <c r="K11" s="713"/>
      <c r="L11" s="713"/>
      <c r="M11" s="713"/>
      <c r="N11" s="713"/>
      <c r="O11" s="713"/>
      <c r="P11" s="713"/>
      <c r="Q11" s="715"/>
      <c r="R11" s="713"/>
      <c r="S11" s="737" t="s">
        <v>1005</v>
      </c>
      <c r="T11" s="713"/>
      <c r="U11" s="713"/>
      <c r="V11" s="713"/>
      <c r="W11" s="713"/>
      <c r="X11" s="713"/>
      <c r="Y11" s="713"/>
      <c r="Z11" s="716"/>
      <c r="AA11" s="716"/>
      <c r="AB11" s="716"/>
      <c r="AC11" s="716"/>
      <c r="AD11" s="716"/>
      <c r="AE11" s="716"/>
      <c r="AF11" s="716"/>
      <c r="AG11" s="716"/>
      <c r="AH11" s="716"/>
      <c r="AI11" s="716"/>
      <c r="AJ11" s="716"/>
      <c r="AK11" s="716"/>
      <c r="AL11" s="716"/>
      <c r="AM11" s="716"/>
      <c r="AN11" s="716"/>
      <c r="AO11" s="716"/>
      <c r="AP11" s="716"/>
      <c r="AQ11" s="716"/>
      <c r="AR11" s="716"/>
      <c r="AS11" s="716"/>
      <c r="AT11" s="716"/>
      <c r="AU11" s="716"/>
      <c r="AV11" s="716"/>
      <c r="AW11" s="716"/>
      <c r="AX11" s="716"/>
      <c r="AY11" s="716"/>
      <c r="AZ11" s="716"/>
      <c r="BA11" s="716"/>
      <c r="BB11" s="716"/>
      <c r="BC11" s="716"/>
      <c r="BD11" s="716"/>
      <c r="BE11" s="716"/>
      <c r="BF11" s="716"/>
      <c r="BG11" s="716"/>
      <c r="BH11" s="716"/>
      <c r="BI11" s="716"/>
      <c r="BJ11" s="716"/>
      <c r="BK11" s="716"/>
      <c r="BL11" s="716"/>
      <c r="BM11" s="716"/>
      <c r="BN11" s="716"/>
      <c r="BO11" s="716"/>
      <c r="BP11" s="716"/>
      <c r="BQ11" s="716"/>
      <c r="BR11" s="716"/>
      <c r="BS11" s="716"/>
      <c r="BT11" s="716"/>
      <c r="BU11" s="716"/>
    </row>
    <row r="12" spans="2:73" ht="12" customHeight="1">
      <c r="B12" s="738"/>
      <c r="C12" s="719"/>
      <c r="D12" s="739"/>
      <c r="E12" s="719"/>
      <c r="F12" s="719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20"/>
      <c r="R12" s="333"/>
      <c r="S12" s="740" t="s">
        <v>1006</v>
      </c>
      <c r="T12" s="333"/>
      <c r="U12" s="317" t="s">
        <v>1007</v>
      </c>
      <c r="V12" s="333"/>
      <c r="W12" s="740"/>
      <c r="X12" s="317" t="s">
        <v>1008</v>
      </c>
    </row>
    <row r="13" spans="2:73" ht="3.75" customHeight="1"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33"/>
      <c r="T13" s="333"/>
      <c r="U13" s="333"/>
      <c r="V13" s="333"/>
      <c r="W13" s="333"/>
      <c r="X13" s="333"/>
      <c r="Y13" s="333"/>
    </row>
    <row r="14" spans="2:73" ht="9" customHeight="1">
      <c r="B14" s="714" t="s">
        <v>906</v>
      </c>
      <c r="C14" s="713"/>
      <c r="D14" s="713"/>
      <c r="H14" s="713"/>
      <c r="I14" s="713"/>
      <c r="J14" s="713"/>
      <c r="K14" s="713"/>
      <c r="L14" s="713"/>
      <c r="M14" s="713"/>
      <c r="N14" s="713"/>
      <c r="O14" s="713"/>
      <c r="P14" s="713"/>
      <c r="Q14" s="715"/>
      <c r="R14" s="333"/>
      <c r="S14" s="333"/>
      <c r="T14" s="333"/>
      <c r="U14" s="333"/>
      <c r="V14" s="333"/>
      <c r="W14" s="333"/>
      <c r="X14" s="333"/>
      <c r="Y14" s="333"/>
    </row>
    <row r="15" spans="2:73" ht="12" customHeight="1">
      <c r="B15" s="741"/>
      <c r="C15" s="719"/>
      <c r="D15" s="742"/>
      <c r="E15" s="719"/>
      <c r="F15" s="719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20"/>
      <c r="R15" s="333"/>
      <c r="S15" s="740"/>
      <c r="T15" s="333"/>
      <c r="U15" s="317" t="s">
        <v>1009</v>
      </c>
      <c r="V15" s="333"/>
      <c r="W15" s="740"/>
      <c r="X15" s="317" t="s">
        <v>1010</v>
      </c>
    </row>
    <row r="16" spans="2:73" ht="3" customHeight="1">
      <c r="B16" s="333"/>
      <c r="C16" s="333"/>
      <c r="D16" s="333"/>
      <c r="E16" s="333"/>
      <c r="F16" s="333"/>
      <c r="G16" s="333"/>
      <c r="H16" s="333"/>
      <c r="I16" s="333"/>
      <c r="J16" s="333"/>
      <c r="K16" s="333"/>
      <c r="L16" s="333"/>
      <c r="M16" s="333"/>
      <c r="N16" s="333"/>
      <c r="O16" s="333"/>
      <c r="P16" s="333"/>
      <c r="Q16" s="333"/>
      <c r="R16" s="333"/>
      <c r="S16" s="333"/>
      <c r="T16" s="333"/>
      <c r="U16" s="333"/>
      <c r="V16" s="333"/>
      <c r="W16" s="333"/>
      <c r="X16" s="333"/>
      <c r="Y16" s="333"/>
    </row>
    <row r="17" spans="2:73" s="717" customFormat="1" ht="9" customHeight="1">
      <c r="B17" s="714" t="s">
        <v>1011</v>
      </c>
      <c r="C17" s="713"/>
      <c r="D17" s="713"/>
      <c r="E17" s="713"/>
      <c r="F17" s="713"/>
      <c r="G17" s="713"/>
      <c r="H17" s="713"/>
      <c r="I17" s="713"/>
      <c r="J17" s="713"/>
      <c r="K17" s="713"/>
      <c r="L17" s="713"/>
      <c r="M17" s="713"/>
      <c r="N17" s="713"/>
      <c r="O17" s="713"/>
      <c r="P17" s="713"/>
      <c r="Q17" s="715"/>
      <c r="R17" s="713"/>
      <c r="S17" s="713"/>
      <c r="T17" s="713"/>
      <c r="U17" s="713"/>
      <c r="V17" s="333"/>
      <c r="W17" s="713"/>
      <c r="X17" s="713"/>
      <c r="Y17" s="713"/>
      <c r="Z17" s="716"/>
      <c r="AA17" s="716"/>
      <c r="AB17" s="716"/>
      <c r="AC17" s="716"/>
      <c r="AD17" s="716"/>
      <c r="AE17" s="716"/>
      <c r="AF17" s="716"/>
      <c r="AG17" s="716"/>
      <c r="AH17" s="716"/>
      <c r="AI17" s="716"/>
      <c r="AJ17" s="716"/>
      <c r="AK17" s="716"/>
      <c r="AL17" s="716"/>
      <c r="AM17" s="716"/>
      <c r="AN17" s="716"/>
      <c r="AO17" s="716"/>
      <c r="AP17" s="716"/>
      <c r="AQ17" s="716"/>
      <c r="AR17" s="716"/>
      <c r="AS17" s="716"/>
      <c r="AT17" s="716"/>
      <c r="AU17" s="716"/>
      <c r="AV17" s="716"/>
      <c r="AW17" s="716"/>
      <c r="AX17" s="716"/>
      <c r="AY17" s="716"/>
      <c r="AZ17" s="716"/>
      <c r="BA17" s="716"/>
      <c r="BB17" s="716"/>
      <c r="BC17" s="716"/>
      <c r="BD17" s="716"/>
      <c r="BE17" s="716"/>
      <c r="BF17" s="716"/>
      <c r="BG17" s="716"/>
      <c r="BH17" s="716"/>
      <c r="BI17" s="716"/>
      <c r="BJ17" s="716"/>
      <c r="BK17" s="716"/>
      <c r="BL17" s="716"/>
      <c r="BM17" s="716"/>
      <c r="BN17" s="716"/>
      <c r="BO17" s="716"/>
      <c r="BP17" s="716"/>
      <c r="BQ17" s="716"/>
      <c r="BR17" s="716"/>
      <c r="BS17" s="716"/>
      <c r="BT17" s="716"/>
      <c r="BU17" s="716"/>
    </row>
    <row r="18" spans="2:73" ht="12" customHeight="1">
      <c r="B18" s="743"/>
      <c r="C18" s="719"/>
      <c r="D18" s="742">
        <f>[2]Orçamento!D15</f>
        <v>0</v>
      </c>
      <c r="E18" s="719"/>
      <c r="F18" s="719"/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20"/>
      <c r="R18" s="333"/>
      <c r="S18" s="740"/>
      <c r="T18" s="333"/>
      <c r="U18" s="317" t="s">
        <v>1012</v>
      </c>
      <c r="V18" s="333"/>
      <c r="X18" s="317"/>
    </row>
    <row r="19" spans="2:73" s="333" customFormat="1" ht="3" customHeight="1">
      <c r="Z19" s="334"/>
      <c r="AA19" s="334"/>
      <c r="AB19" s="334"/>
      <c r="AC19" s="334"/>
      <c r="AD19" s="334"/>
      <c r="AE19" s="334"/>
      <c r="AF19" s="334"/>
      <c r="AG19" s="334"/>
      <c r="AH19" s="334"/>
      <c r="AI19" s="334"/>
      <c r="AJ19" s="334"/>
      <c r="AK19" s="334"/>
      <c r="AL19" s="334"/>
      <c r="AM19" s="334"/>
      <c r="AN19" s="334"/>
      <c r="AO19" s="334"/>
      <c r="AP19" s="334"/>
      <c r="AQ19" s="334"/>
      <c r="AR19" s="334"/>
      <c r="AS19" s="334"/>
      <c r="AT19" s="334"/>
      <c r="AU19" s="334"/>
      <c r="AV19" s="334"/>
      <c r="AW19" s="334"/>
      <c r="AX19" s="334"/>
      <c r="AY19" s="334"/>
      <c r="AZ19" s="334"/>
      <c r="BA19" s="334"/>
      <c r="BB19" s="334"/>
      <c r="BC19" s="334"/>
      <c r="BD19" s="334"/>
      <c r="BE19" s="334"/>
      <c r="BF19" s="334"/>
      <c r="BG19" s="334"/>
      <c r="BH19" s="334"/>
      <c r="BI19" s="334"/>
      <c r="BJ19" s="334"/>
      <c r="BK19" s="334"/>
      <c r="BL19" s="334"/>
      <c r="BM19" s="334"/>
      <c r="BN19" s="334"/>
      <c r="BO19" s="334"/>
      <c r="BP19" s="334"/>
      <c r="BQ19" s="334"/>
      <c r="BR19" s="334"/>
      <c r="BS19" s="334"/>
      <c r="BT19" s="334"/>
      <c r="BU19" s="334"/>
    </row>
    <row r="20" spans="2:73" s="717" customFormat="1" ht="9" customHeight="1">
      <c r="B20" s="714" t="s">
        <v>1013</v>
      </c>
      <c r="C20" s="713"/>
      <c r="D20" s="713"/>
      <c r="E20" s="713"/>
      <c r="F20" s="713"/>
      <c r="G20" s="713"/>
      <c r="H20" s="713"/>
      <c r="I20" s="713"/>
      <c r="J20" s="713"/>
      <c r="K20" s="713"/>
      <c r="L20" s="713"/>
      <c r="M20" s="713"/>
      <c r="N20" s="713"/>
      <c r="O20" s="713"/>
      <c r="P20" s="713"/>
      <c r="Q20" s="713"/>
      <c r="R20" s="713"/>
      <c r="S20" s="715"/>
      <c r="T20" s="713"/>
      <c r="U20" s="744" t="s">
        <v>889</v>
      </c>
      <c r="V20" s="713"/>
      <c r="W20" s="713"/>
      <c r="X20" s="713"/>
      <c r="Y20" s="715"/>
      <c r="Z20" s="716"/>
      <c r="AA20" s="716"/>
      <c r="AB20" s="716"/>
      <c r="AC20" s="716"/>
      <c r="AD20" s="716"/>
      <c r="AE20" s="716"/>
      <c r="AF20" s="716"/>
      <c r="AG20" s="716"/>
      <c r="AH20" s="716"/>
      <c r="AI20" s="716"/>
      <c r="AJ20" s="716"/>
      <c r="AK20" s="716"/>
      <c r="AL20" s="716"/>
      <c r="AM20" s="716"/>
      <c r="AN20" s="716"/>
      <c r="AO20" s="716"/>
      <c r="AP20" s="716"/>
      <c r="AQ20" s="716"/>
      <c r="AR20" s="716"/>
      <c r="AS20" s="716"/>
      <c r="AT20" s="716"/>
      <c r="AU20" s="716"/>
      <c r="AV20" s="716"/>
      <c r="AW20" s="716"/>
      <c r="AX20" s="716"/>
      <c r="AY20" s="716"/>
      <c r="AZ20" s="716"/>
      <c r="BA20" s="716"/>
      <c r="BB20" s="716"/>
      <c r="BC20" s="716"/>
      <c r="BD20" s="716"/>
      <c r="BE20" s="716"/>
      <c r="BF20" s="716"/>
      <c r="BG20" s="716"/>
      <c r="BH20" s="716"/>
      <c r="BI20" s="716"/>
      <c r="BJ20" s="716"/>
      <c r="BK20" s="716"/>
      <c r="BL20" s="716"/>
      <c r="BM20" s="716"/>
      <c r="BN20" s="716"/>
      <c r="BO20" s="716"/>
      <c r="BP20" s="716"/>
      <c r="BQ20" s="716"/>
      <c r="BR20" s="716"/>
      <c r="BS20" s="716"/>
      <c r="BT20" s="716"/>
      <c r="BU20" s="716"/>
    </row>
    <row r="21" spans="2:73" ht="12" customHeight="1">
      <c r="B21" s="745"/>
      <c r="C21" s="719"/>
      <c r="D21" s="719"/>
      <c r="E21" s="719"/>
      <c r="F21" s="719"/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20"/>
      <c r="T21" s="719"/>
      <c r="U21" s="745"/>
      <c r="V21" s="719"/>
      <c r="W21" s="719"/>
      <c r="X21" s="719"/>
      <c r="Y21" s="720"/>
    </row>
    <row r="22" spans="2:73" ht="3.75" customHeight="1">
      <c r="B22" s="333"/>
      <c r="C22" s="333"/>
      <c r="D22" s="333"/>
      <c r="E22" s="333"/>
      <c r="F22" s="333"/>
      <c r="G22" s="333"/>
      <c r="H22" s="333"/>
      <c r="I22" s="333"/>
      <c r="J22" s="333"/>
      <c r="K22" s="333"/>
      <c r="L22" s="333"/>
      <c r="M22" s="333"/>
      <c r="N22" s="333"/>
      <c r="O22" s="333"/>
      <c r="P22" s="333"/>
      <c r="Q22" s="333"/>
      <c r="R22" s="333"/>
      <c r="S22" s="333"/>
      <c r="T22" s="333"/>
      <c r="U22" s="333"/>
      <c r="V22" s="333"/>
      <c r="W22" s="333"/>
      <c r="X22" s="333"/>
      <c r="Y22" s="333"/>
    </row>
    <row r="23" spans="2:73" s="717" customFormat="1" ht="9" customHeight="1">
      <c r="B23" s="746" t="s">
        <v>922</v>
      </c>
      <c r="C23" s="713"/>
      <c r="D23" s="713"/>
      <c r="E23" s="713"/>
      <c r="F23" s="713"/>
      <c r="G23" s="713"/>
      <c r="H23" s="713"/>
      <c r="I23" s="713"/>
      <c r="J23" s="713"/>
      <c r="K23" s="713"/>
      <c r="L23" s="713"/>
      <c r="M23" s="715"/>
      <c r="N23" s="713"/>
      <c r="O23" s="746" t="s">
        <v>923</v>
      </c>
      <c r="P23" s="713"/>
      <c r="Q23" s="713"/>
      <c r="R23" s="713"/>
      <c r="S23" s="715"/>
      <c r="T23" s="713"/>
      <c r="U23" s="746" t="s">
        <v>1014</v>
      </c>
      <c r="X23" s="747"/>
      <c r="Y23" s="747" t="s">
        <v>1015</v>
      </c>
      <c r="Z23" s="716"/>
      <c r="AA23" s="716"/>
      <c r="AB23" s="716"/>
      <c r="AC23" s="716"/>
      <c r="AD23" s="716"/>
      <c r="AE23" s="716"/>
      <c r="AF23" s="716"/>
      <c r="AG23" s="716"/>
      <c r="AH23" s="716"/>
      <c r="AI23" s="716"/>
      <c r="AJ23" s="716"/>
      <c r="AK23" s="716"/>
      <c r="AL23" s="716"/>
      <c r="AM23" s="716"/>
      <c r="AN23" s="716"/>
      <c r="AO23" s="716"/>
      <c r="AP23" s="716"/>
      <c r="AQ23" s="716"/>
      <c r="AR23" s="716"/>
      <c r="AS23" s="716"/>
      <c r="AT23" s="716"/>
      <c r="AU23" s="716"/>
      <c r="AV23" s="716"/>
      <c r="AW23" s="716"/>
      <c r="AX23" s="716"/>
      <c r="AY23" s="716"/>
      <c r="AZ23" s="716"/>
      <c r="BA23" s="716"/>
      <c r="BB23" s="716"/>
      <c r="BC23" s="716"/>
      <c r="BD23" s="716"/>
      <c r="BE23" s="716"/>
      <c r="BF23" s="716"/>
      <c r="BG23" s="716"/>
      <c r="BH23" s="716"/>
      <c r="BI23" s="716"/>
      <c r="BJ23" s="716"/>
      <c r="BK23" s="716"/>
      <c r="BL23" s="716"/>
      <c r="BM23" s="716"/>
      <c r="BN23" s="716"/>
      <c r="BO23" s="716"/>
      <c r="BP23" s="716"/>
      <c r="BQ23" s="716"/>
      <c r="BR23" s="716"/>
      <c r="BS23" s="716"/>
      <c r="BT23" s="716"/>
      <c r="BU23" s="716"/>
    </row>
    <row r="24" spans="2:73" ht="11.25" customHeight="1">
      <c r="B24" s="745"/>
      <c r="C24" s="696"/>
      <c r="D24" s="719"/>
      <c r="E24" s="719"/>
      <c r="F24" s="719"/>
      <c r="G24" s="719"/>
      <c r="H24" s="719"/>
      <c r="I24" s="719"/>
      <c r="J24" s="719"/>
      <c r="K24" s="719"/>
      <c r="L24" s="719"/>
      <c r="M24" s="720"/>
      <c r="N24" s="494"/>
      <c r="O24" s="745"/>
      <c r="P24" s="719"/>
      <c r="Q24" s="696"/>
      <c r="R24" s="719"/>
      <c r="S24" s="720"/>
      <c r="T24" s="494"/>
      <c r="U24" s="745"/>
      <c r="V24" s="719"/>
      <c r="W24" s="720"/>
      <c r="X24" s="526"/>
      <c r="Y24" s="748"/>
    </row>
    <row r="25" spans="2:73" s="749" customFormat="1" ht="10.9" customHeight="1">
      <c r="Z25" s="750"/>
      <c r="AA25" s="750"/>
      <c r="AB25" s="750"/>
      <c r="AC25" s="750"/>
      <c r="AD25" s="750"/>
      <c r="AE25" s="750"/>
      <c r="AF25" s="750"/>
      <c r="AG25" s="750"/>
      <c r="AH25" s="750"/>
      <c r="AI25" s="750"/>
      <c r="AJ25" s="750"/>
      <c r="AK25" s="750"/>
      <c r="AL25" s="750"/>
      <c r="AM25" s="750"/>
      <c r="AN25" s="750"/>
      <c r="AO25" s="750"/>
      <c r="AP25" s="750"/>
      <c r="AQ25" s="750"/>
      <c r="AR25" s="750"/>
      <c r="AS25" s="750"/>
      <c r="AT25" s="750"/>
      <c r="AU25" s="750"/>
      <c r="AV25" s="750"/>
      <c r="AW25" s="750"/>
      <c r="AX25" s="750"/>
      <c r="AY25" s="750"/>
      <c r="AZ25" s="750"/>
      <c r="BA25" s="750"/>
      <c r="BB25" s="750"/>
      <c r="BC25" s="750"/>
      <c r="BD25" s="750"/>
      <c r="BE25" s="750"/>
      <c r="BF25" s="750"/>
      <c r="BG25" s="750"/>
      <c r="BH25" s="750"/>
      <c r="BI25" s="750"/>
      <c r="BJ25" s="750"/>
      <c r="BK25" s="750"/>
      <c r="BL25" s="750"/>
      <c r="BM25" s="750"/>
      <c r="BN25" s="750"/>
      <c r="BO25" s="750"/>
      <c r="BP25" s="750"/>
      <c r="BQ25" s="750"/>
      <c r="BR25" s="750"/>
      <c r="BS25" s="750"/>
      <c r="BT25" s="750"/>
      <c r="BU25" s="750"/>
    </row>
    <row r="26" spans="2:73" s="736" customFormat="1" ht="12" customHeight="1">
      <c r="B26" s="735" t="s">
        <v>1016</v>
      </c>
      <c r="Z26" s="751"/>
      <c r="AA26" s="751"/>
      <c r="AB26" s="751"/>
      <c r="AC26" s="751"/>
      <c r="AD26" s="751"/>
      <c r="AE26" s="751"/>
      <c r="AF26" s="751"/>
      <c r="AG26" s="751"/>
      <c r="AH26" s="751"/>
      <c r="AI26" s="751"/>
      <c r="AJ26" s="751"/>
      <c r="AK26" s="751"/>
      <c r="AL26" s="751"/>
      <c r="AM26" s="751"/>
      <c r="AN26" s="751"/>
      <c r="AO26" s="751"/>
      <c r="AP26" s="751"/>
      <c r="AQ26" s="751"/>
      <c r="AR26" s="751"/>
      <c r="AS26" s="751"/>
      <c r="AT26" s="751"/>
      <c r="AU26" s="751"/>
      <c r="AV26" s="751"/>
      <c r="AW26" s="751"/>
      <c r="AX26" s="751"/>
      <c r="AY26" s="751"/>
      <c r="AZ26" s="751"/>
      <c r="BA26" s="751"/>
      <c r="BB26" s="751"/>
      <c r="BC26" s="751"/>
      <c r="BD26" s="751"/>
      <c r="BE26" s="751"/>
      <c r="BF26" s="751"/>
      <c r="BG26" s="751"/>
      <c r="BH26" s="751"/>
      <c r="BI26" s="751"/>
      <c r="BJ26" s="751"/>
      <c r="BK26" s="751"/>
      <c r="BL26" s="751"/>
      <c r="BM26" s="751"/>
      <c r="BN26" s="751"/>
      <c r="BO26" s="751"/>
      <c r="BP26" s="751"/>
      <c r="BQ26" s="751"/>
      <c r="BR26" s="751"/>
      <c r="BS26" s="751"/>
      <c r="BT26" s="751"/>
      <c r="BU26" s="751"/>
    </row>
    <row r="27" spans="2:73" s="717" customFormat="1" ht="9.75" customHeight="1">
      <c r="B27" s="580">
        <v>1</v>
      </c>
      <c r="C27" s="316" t="s">
        <v>1017</v>
      </c>
      <c r="D27" s="316"/>
      <c r="E27" s="316"/>
      <c r="F27" s="316"/>
      <c r="G27" s="316"/>
      <c r="H27" s="316"/>
      <c r="I27" s="316"/>
      <c r="J27" s="316"/>
      <c r="K27" s="316"/>
      <c r="L27" s="316"/>
      <c r="M27" s="316"/>
      <c r="Z27" s="716"/>
      <c r="AA27" s="716"/>
      <c r="AB27" s="716"/>
      <c r="AC27" s="716"/>
      <c r="AD27" s="716"/>
      <c r="AE27" s="716"/>
      <c r="AF27" s="716"/>
      <c r="AG27" s="716"/>
      <c r="AH27" s="716"/>
      <c r="AI27" s="716"/>
      <c r="AJ27" s="716"/>
      <c r="AK27" s="716"/>
      <c r="AL27" s="716"/>
      <c r="AM27" s="716"/>
      <c r="AN27" s="716"/>
      <c r="AO27" s="716"/>
      <c r="AP27" s="716"/>
      <c r="AQ27" s="716"/>
      <c r="AR27" s="716"/>
      <c r="AS27" s="716"/>
      <c r="AT27" s="716"/>
      <c r="AU27" s="716"/>
      <c r="AV27" s="716"/>
      <c r="AW27" s="716"/>
      <c r="AX27" s="716"/>
      <c r="AY27" s="716"/>
      <c r="AZ27" s="716"/>
      <c r="BA27" s="716"/>
      <c r="BB27" s="716"/>
      <c r="BC27" s="716"/>
      <c r="BD27" s="716"/>
      <c r="BE27" s="716"/>
      <c r="BF27" s="716"/>
      <c r="BG27" s="716"/>
      <c r="BH27" s="716"/>
      <c r="BI27" s="716"/>
      <c r="BJ27" s="716"/>
      <c r="BK27" s="716"/>
      <c r="BL27" s="716"/>
      <c r="BM27" s="716"/>
      <c r="BN27" s="716"/>
      <c r="BO27" s="716"/>
      <c r="BP27" s="716"/>
      <c r="BQ27" s="716"/>
      <c r="BR27" s="716"/>
      <c r="BS27" s="716"/>
      <c r="BT27" s="716"/>
      <c r="BU27" s="716"/>
    </row>
    <row r="28" spans="2:73" s="717" customFormat="1" ht="9.75" customHeight="1">
      <c r="B28" s="580">
        <v>2</v>
      </c>
      <c r="C28" s="316" t="s">
        <v>1018</v>
      </c>
      <c r="D28" s="316"/>
      <c r="E28" s="316"/>
      <c r="F28" s="316"/>
      <c r="G28" s="316"/>
      <c r="H28" s="316"/>
      <c r="I28" s="316"/>
      <c r="J28" s="316"/>
      <c r="K28" s="316"/>
      <c r="L28" s="316"/>
      <c r="M28" s="316"/>
      <c r="Z28" s="716"/>
      <c r="AA28" s="716"/>
      <c r="AB28" s="716"/>
      <c r="AC28" s="716"/>
      <c r="AD28" s="716"/>
      <c r="AE28" s="716"/>
      <c r="AF28" s="716"/>
      <c r="AG28" s="716"/>
      <c r="AH28" s="716"/>
      <c r="AI28" s="716"/>
      <c r="AJ28" s="716"/>
      <c r="AK28" s="716"/>
      <c r="AL28" s="716"/>
      <c r="AM28" s="716"/>
      <c r="AN28" s="716"/>
      <c r="AO28" s="716"/>
      <c r="AP28" s="716"/>
      <c r="AQ28" s="716"/>
      <c r="AR28" s="716"/>
      <c r="AS28" s="716"/>
      <c r="AT28" s="716"/>
      <c r="AU28" s="716"/>
      <c r="AV28" s="716"/>
      <c r="AW28" s="716"/>
      <c r="AX28" s="716"/>
      <c r="AY28" s="716"/>
      <c r="AZ28" s="716"/>
      <c r="BA28" s="716"/>
      <c r="BB28" s="716"/>
      <c r="BC28" s="716"/>
      <c r="BD28" s="716"/>
      <c r="BE28" s="716"/>
      <c r="BF28" s="716"/>
      <c r="BG28" s="716"/>
      <c r="BH28" s="716"/>
      <c r="BI28" s="716"/>
      <c r="BJ28" s="716"/>
      <c r="BK28" s="716"/>
      <c r="BL28" s="716"/>
      <c r="BM28" s="716"/>
      <c r="BN28" s="716"/>
      <c r="BO28" s="716"/>
      <c r="BP28" s="716"/>
      <c r="BQ28" s="716"/>
      <c r="BR28" s="716"/>
      <c r="BS28" s="716"/>
      <c r="BT28" s="716"/>
      <c r="BU28" s="716"/>
    </row>
    <row r="29" spans="2:73" s="717" customFormat="1" ht="9.75" customHeight="1">
      <c r="B29" s="580">
        <v>3</v>
      </c>
      <c r="C29" s="316" t="s">
        <v>1019</v>
      </c>
      <c r="D29" s="316"/>
      <c r="E29" s="316"/>
      <c r="F29" s="316"/>
      <c r="G29" s="316"/>
      <c r="H29" s="316"/>
      <c r="I29" s="316"/>
      <c r="J29" s="316"/>
      <c r="K29" s="316"/>
      <c r="L29" s="316"/>
      <c r="M29" s="316"/>
      <c r="Z29" s="716"/>
      <c r="AA29" s="716"/>
      <c r="AB29" s="716"/>
      <c r="AC29" s="716"/>
      <c r="AD29" s="716"/>
      <c r="AE29" s="716"/>
      <c r="AF29" s="716"/>
      <c r="AG29" s="716"/>
      <c r="AH29" s="716"/>
      <c r="AI29" s="716"/>
      <c r="AJ29" s="716"/>
      <c r="AK29" s="716"/>
      <c r="AL29" s="716"/>
      <c r="AM29" s="716"/>
      <c r="AN29" s="716"/>
      <c r="AO29" s="716"/>
      <c r="AP29" s="716"/>
      <c r="AQ29" s="716"/>
      <c r="AR29" s="716"/>
      <c r="AS29" s="716"/>
      <c r="AT29" s="716"/>
      <c r="AU29" s="716"/>
      <c r="AV29" s="716"/>
      <c r="AW29" s="716"/>
      <c r="AX29" s="716"/>
      <c r="AY29" s="716"/>
      <c r="AZ29" s="716"/>
      <c r="BA29" s="716"/>
      <c r="BB29" s="716"/>
      <c r="BC29" s="716"/>
      <c r="BD29" s="716"/>
      <c r="BE29" s="716"/>
      <c r="BF29" s="716"/>
      <c r="BG29" s="716"/>
      <c r="BH29" s="716"/>
      <c r="BI29" s="716"/>
      <c r="BJ29" s="716"/>
      <c r="BK29" s="716"/>
      <c r="BL29" s="716"/>
      <c r="BM29" s="716"/>
      <c r="BN29" s="716"/>
      <c r="BO29" s="716"/>
      <c r="BP29" s="716"/>
      <c r="BQ29" s="716"/>
      <c r="BR29" s="716"/>
      <c r="BS29" s="716"/>
      <c r="BT29" s="716"/>
      <c r="BU29" s="716"/>
    </row>
    <row r="30" spans="2:73" s="717" customFormat="1" ht="9.75" customHeight="1">
      <c r="B30" s="580">
        <v>4</v>
      </c>
      <c r="C30" s="316" t="s">
        <v>1020</v>
      </c>
      <c r="D30" s="316"/>
      <c r="E30" s="316"/>
      <c r="F30" s="316"/>
      <c r="G30" s="316"/>
      <c r="H30" s="316"/>
      <c r="I30" s="316"/>
      <c r="J30" s="316"/>
      <c r="K30" s="316"/>
      <c r="L30" s="316"/>
      <c r="M30" s="316"/>
      <c r="Z30" s="716"/>
      <c r="AA30" s="716"/>
      <c r="AB30" s="716"/>
      <c r="AC30" s="716"/>
      <c r="AD30" s="716"/>
      <c r="AE30" s="716"/>
      <c r="AF30" s="716"/>
      <c r="AG30" s="716"/>
      <c r="AH30" s="716"/>
      <c r="AI30" s="716"/>
      <c r="AJ30" s="716"/>
      <c r="AK30" s="716"/>
      <c r="AL30" s="716"/>
      <c r="AM30" s="716"/>
      <c r="AN30" s="716"/>
      <c r="AO30" s="716"/>
      <c r="AP30" s="716"/>
      <c r="AQ30" s="716"/>
      <c r="AR30" s="716"/>
      <c r="AS30" s="716"/>
      <c r="AT30" s="716"/>
      <c r="AU30" s="716"/>
      <c r="AV30" s="716"/>
      <c r="AW30" s="716"/>
      <c r="AX30" s="716"/>
      <c r="AY30" s="716"/>
      <c r="AZ30" s="716"/>
      <c r="BA30" s="716"/>
      <c r="BB30" s="716"/>
      <c r="BC30" s="716"/>
      <c r="BD30" s="716"/>
      <c r="BE30" s="716"/>
      <c r="BF30" s="716"/>
      <c r="BG30" s="716"/>
      <c r="BH30" s="716"/>
      <c r="BI30" s="716"/>
      <c r="BJ30" s="716"/>
      <c r="BK30" s="716"/>
      <c r="BL30" s="716"/>
      <c r="BM30" s="716"/>
      <c r="BN30" s="716"/>
      <c r="BO30" s="716"/>
      <c r="BP30" s="716"/>
      <c r="BQ30" s="716"/>
      <c r="BR30" s="716"/>
      <c r="BS30" s="716"/>
      <c r="BT30" s="716"/>
      <c r="BU30" s="716"/>
    </row>
    <row r="31" spans="2:73" s="717" customFormat="1" ht="9.75" customHeight="1">
      <c r="B31" s="580"/>
      <c r="C31" s="316" t="s">
        <v>1021</v>
      </c>
      <c r="D31" s="316"/>
      <c r="E31" s="316"/>
      <c r="F31" s="316"/>
      <c r="G31" s="316"/>
      <c r="H31" s="316"/>
      <c r="I31" s="316"/>
      <c r="J31" s="316"/>
      <c r="K31" s="316"/>
      <c r="L31" s="316"/>
      <c r="M31" s="316"/>
      <c r="Z31" s="716"/>
      <c r="AA31" s="716"/>
      <c r="AB31" s="716"/>
      <c r="AC31" s="716"/>
      <c r="AD31" s="716"/>
      <c r="AE31" s="716"/>
      <c r="AF31" s="716"/>
      <c r="AG31" s="716"/>
      <c r="AH31" s="716"/>
      <c r="AI31" s="716"/>
      <c r="AJ31" s="716"/>
      <c r="AK31" s="716"/>
      <c r="AL31" s="716"/>
      <c r="AM31" s="716"/>
      <c r="AN31" s="716"/>
      <c r="AO31" s="716"/>
      <c r="AP31" s="716"/>
      <c r="AQ31" s="716"/>
      <c r="AR31" s="716"/>
      <c r="AS31" s="716"/>
      <c r="AT31" s="716"/>
      <c r="AU31" s="716"/>
      <c r="AV31" s="716"/>
      <c r="AW31" s="716"/>
      <c r="AX31" s="716"/>
      <c r="AY31" s="716"/>
      <c r="AZ31" s="716"/>
      <c r="BA31" s="716"/>
      <c r="BB31" s="716"/>
      <c r="BC31" s="716"/>
      <c r="BD31" s="716"/>
      <c r="BE31" s="716"/>
      <c r="BF31" s="716"/>
      <c r="BG31" s="716"/>
      <c r="BH31" s="716"/>
      <c r="BI31" s="716"/>
      <c r="BJ31" s="716"/>
      <c r="BK31" s="716"/>
      <c r="BL31" s="716"/>
      <c r="BM31" s="716"/>
      <c r="BN31" s="716"/>
      <c r="BO31" s="716"/>
      <c r="BP31" s="716"/>
      <c r="BQ31" s="716"/>
      <c r="BR31" s="716"/>
      <c r="BS31" s="716"/>
      <c r="BT31" s="716"/>
      <c r="BU31" s="716"/>
    </row>
    <row r="32" spans="2:73" s="717" customFormat="1" ht="9.75" customHeight="1">
      <c r="B32" s="580">
        <v>5</v>
      </c>
      <c r="C32" s="316" t="s">
        <v>1022</v>
      </c>
      <c r="D32" s="316"/>
      <c r="E32" s="316"/>
      <c r="F32" s="316"/>
      <c r="G32" s="316"/>
      <c r="H32" s="316"/>
      <c r="I32" s="316"/>
      <c r="J32" s="316"/>
      <c r="K32" s="316"/>
      <c r="L32" s="316"/>
      <c r="M32" s="316"/>
      <c r="Z32" s="716"/>
      <c r="AA32" s="716"/>
      <c r="AB32" s="716"/>
      <c r="AC32" s="716"/>
      <c r="AD32" s="716"/>
      <c r="AE32" s="716"/>
      <c r="AF32" s="716"/>
      <c r="AG32" s="716"/>
      <c r="AH32" s="716"/>
      <c r="AI32" s="716"/>
      <c r="AJ32" s="716"/>
      <c r="AK32" s="716"/>
      <c r="AL32" s="716"/>
      <c r="AM32" s="716"/>
      <c r="AN32" s="716"/>
      <c r="AO32" s="716"/>
      <c r="AP32" s="716"/>
      <c r="AQ32" s="716"/>
      <c r="AR32" s="716"/>
      <c r="AS32" s="716"/>
      <c r="AT32" s="716"/>
      <c r="AU32" s="716"/>
      <c r="AV32" s="716"/>
      <c r="AW32" s="716"/>
      <c r="AX32" s="716"/>
      <c r="AY32" s="716"/>
      <c r="AZ32" s="716"/>
      <c r="BA32" s="716"/>
      <c r="BB32" s="716"/>
      <c r="BC32" s="716"/>
      <c r="BD32" s="716"/>
      <c r="BE32" s="716"/>
      <c r="BF32" s="716"/>
      <c r="BG32" s="716"/>
      <c r="BH32" s="716"/>
      <c r="BI32" s="716"/>
      <c r="BJ32" s="716"/>
      <c r="BK32" s="716"/>
      <c r="BL32" s="716"/>
      <c r="BM32" s="716"/>
      <c r="BN32" s="716"/>
      <c r="BO32" s="716"/>
      <c r="BP32" s="716"/>
      <c r="BQ32" s="716"/>
      <c r="BR32" s="716"/>
      <c r="BS32" s="716"/>
      <c r="BT32" s="716"/>
      <c r="BU32" s="716"/>
    </row>
    <row r="33" spans="1:73" s="717" customFormat="1" ht="9.75" customHeight="1">
      <c r="B33" s="580">
        <v>6</v>
      </c>
      <c r="C33" s="316" t="s">
        <v>1023</v>
      </c>
      <c r="D33" s="316"/>
      <c r="E33" s="316"/>
      <c r="F33" s="316"/>
      <c r="G33" s="316"/>
      <c r="H33" s="316"/>
      <c r="I33" s="316"/>
      <c r="J33" s="316"/>
      <c r="K33" s="316"/>
      <c r="L33" s="316"/>
      <c r="M33" s="316"/>
      <c r="Z33" s="716"/>
      <c r="AA33" s="716"/>
      <c r="AB33" s="716"/>
      <c r="AC33" s="716"/>
      <c r="AD33" s="716"/>
      <c r="AE33" s="716"/>
      <c r="AF33" s="716"/>
      <c r="AG33" s="716"/>
      <c r="AH33" s="716"/>
      <c r="AI33" s="716"/>
      <c r="AJ33" s="716"/>
      <c r="AK33" s="716"/>
      <c r="AL33" s="716"/>
      <c r="AM33" s="716"/>
      <c r="AN33" s="716"/>
      <c r="AO33" s="716"/>
      <c r="AP33" s="716"/>
      <c r="AQ33" s="716"/>
      <c r="AR33" s="716"/>
      <c r="AS33" s="716"/>
      <c r="AT33" s="716"/>
      <c r="AU33" s="716"/>
      <c r="AV33" s="716"/>
      <c r="AW33" s="716"/>
      <c r="AX33" s="716"/>
      <c r="AY33" s="716"/>
      <c r="AZ33" s="716"/>
      <c r="BA33" s="716"/>
      <c r="BB33" s="716"/>
      <c r="BC33" s="716"/>
      <c r="BD33" s="716"/>
      <c r="BE33" s="716"/>
      <c r="BF33" s="716"/>
      <c r="BG33" s="716"/>
      <c r="BH33" s="716"/>
      <c r="BI33" s="716"/>
      <c r="BJ33" s="716"/>
      <c r="BK33" s="716"/>
      <c r="BL33" s="716"/>
      <c r="BM33" s="716"/>
      <c r="BN33" s="716"/>
      <c r="BO33" s="716"/>
      <c r="BP33" s="716"/>
      <c r="BQ33" s="716"/>
      <c r="BR33" s="716"/>
      <c r="BS33" s="716"/>
      <c r="BT33" s="716"/>
      <c r="BU33" s="716"/>
    </row>
    <row r="34" spans="1:73" s="717" customFormat="1" ht="6" customHeight="1">
      <c r="B34" s="315"/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Z34" s="716"/>
      <c r="AA34" s="716"/>
      <c r="AB34" s="716"/>
      <c r="AC34" s="716"/>
      <c r="AD34" s="716"/>
      <c r="AE34" s="716"/>
      <c r="AF34" s="716"/>
      <c r="AG34" s="716"/>
      <c r="AH34" s="716"/>
      <c r="AI34" s="716"/>
      <c r="AJ34" s="716"/>
      <c r="AK34" s="716"/>
      <c r="AL34" s="716"/>
      <c r="AM34" s="716"/>
      <c r="AN34" s="716"/>
      <c r="AO34" s="716"/>
      <c r="AP34" s="716"/>
      <c r="AQ34" s="716"/>
      <c r="AR34" s="716"/>
      <c r="AS34" s="716"/>
      <c r="AT34" s="716"/>
      <c r="AU34" s="716"/>
      <c r="AV34" s="716"/>
      <c r="AW34" s="716"/>
      <c r="AX34" s="716"/>
      <c r="AY34" s="716"/>
      <c r="AZ34" s="716"/>
      <c r="BA34" s="716"/>
      <c r="BB34" s="716"/>
      <c r="BC34" s="716"/>
      <c r="BD34" s="716"/>
      <c r="BE34" s="716"/>
      <c r="BF34" s="716"/>
      <c r="BG34" s="716"/>
      <c r="BH34" s="716"/>
      <c r="BI34" s="716"/>
      <c r="BJ34" s="716"/>
      <c r="BK34" s="716"/>
      <c r="BL34" s="716"/>
      <c r="BM34" s="716"/>
      <c r="BN34" s="716"/>
      <c r="BO34" s="716"/>
      <c r="BP34" s="716"/>
      <c r="BQ34" s="716"/>
      <c r="BR34" s="716"/>
      <c r="BS34" s="716"/>
      <c r="BT34" s="716"/>
      <c r="BU34" s="716"/>
    </row>
    <row r="35" spans="1:73" s="736" customFormat="1" ht="12" customHeight="1">
      <c r="A35" s="752"/>
      <c r="B35" s="753" t="s">
        <v>1024</v>
      </c>
      <c r="C35" s="752"/>
      <c r="D35" s="752"/>
      <c r="E35" s="752"/>
      <c r="F35" s="752"/>
      <c r="G35" s="752"/>
      <c r="H35" s="752"/>
      <c r="I35" s="752"/>
      <c r="J35" s="752"/>
      <c r="K35" s="752"/>
      <c r="L35" s="752"/>
      <c r="M35" s="752"/>
      <c r="N35" s="752"/>
      <c r="O35" s="752"/>
      <c r="P35" s="752"/>
      <c r="Q35" s="1156"/>
      <c r="R35" s="1157"/>
      <c r="S35" s="1157"/>
      <c r="T35" s="1157"/>
      <c r="U35" s="1157"/>
      <c r="V35" s="1157"/>
      <c r="W35" s="1157"/>
      <c r="X35" s="1158"/>
      <c r="Y35" s="754"/>
      <c r="Z35" s="751"/>
      <c r="AA35" s="751"/>
      <c r="AB35" s="751"/>
      <c r="AC35" s="751"/>
      <c r="AD35" s="751"/>
      <c r="AE35" s="751"/>
      <c r="AF35" s="751"/>
      <c r="AG35" s="751"/>
      <c r="AH35" s="751"/>
      <c r="AI35" s="751"/>
      <c r="AJ35" s="751"/>
      <c r="AK35" s="751"/>
      <c r="AL35" s="751"/>
      <c r="AM35" s="751"/>
      <c r="AN35" s="751"/>
      <c r="AO35" s="751"/>
      <c r="AP35" s="751"/>
      <c r="AQ35" s="751"/>
      <c r="AR35" s="751"/>
      <c r="AS35" s="751"/>
      <c r="AT35" s="751"/>
      <c r="AU35" s="751"/>
      <c r="AV35" s="751"/>
      <c r="AW35" s="751"/>
      <c r="AX35" s="751"/>
      <c r="AY35" s="751"/>
      <c r="AZ35" s="751"/>
      <c r="BA35" s="751"/>
      <c r="BB35" s="751"/>
      <c r="BC35" s="751"/>
      <c r="BD35" s="751"/>
      <c r="BE35" s="751"/>
      <c r="BF35" s="751"/>
      <c r="BG35" s="751"/>
      <c r="BH35" s="751"/>
      <c r="BI35" s="751"/>
      <c r="BJ35" s="751"/>
      <c r="BK35" s="751"/>
      <c r="BL35" s="751"/>
      <c r="BM35" s="751"/>
      <c r="BN35" s="751"/>
      <c r="BO35" s="751"/>
      <c r="BP35" s="751"/>
      <c r="BQ35" s="751"/>
      <c r="BR35" s="751"/>
      <c r="BS35" s="751"/>
      <c r="BT35" s="751"/>
      <c r="BU35" s="751"/>
    </row>
    <row r="36" spans="1:73" s="749" customFormat="1" ht="7.5" customHeight="1">
      <c r="A36" s="713"/>
      <c r="B36" s="755"/>
      <c r="C36" s="713"/>
      <c r="D36" s="713"/>
      <c r="E36" s="713"/>
      <c r="F36" s="713"/>
      <c r="G36" s="713"/>
      <c r="H36" s="713"/>
      <c r="I36" s="713"/>
      <c r="J36" s="713"/>
      <c r="K36" s="713"/>
      <c r="L36" s="713"/>
      <c r="M36" s="713"/>
      <c r="N36" s="713"/>
      <c r="O36" s="713"/>
      <c r="P36" s="713"/>
      <c r="Q36" s="713"/>
      <c r="R36" s="713"/>
      <c r="S36" s="713"/>
      <c r="T36" s="713"/>
      <c r="U36" s="713"/>
      <c r="V36" s="713"/>
      <c r="W36" s="713"/>
      <c r="X36" s="713"/>
      <c r="Y36" s="713"/>
      <c r="Z36" s="750"/>
      <c r="AA36" s="750"/>
      <c r="AB36" s="750"/>
      <c r="AC36" s="750"/>
      <c r="AD36" s="750"/>
      <c r="AE36" s="750"/>
      <c r="AF36" s="750"/>
      <c r="AG36" s="750"/>
      <c r="AH36" s="750"/>
      <c r="AI36" s="750"/>
      <c r="AJ36" s="750"/>
      <c r="AK36" s="750"/>
      <c r="AL36" s="750"/>
      <c r="AM36" s="750"/>
      <c r="AN36" s="750"/>
      <c r="AO36" s="750"/>
      <c r="AP36" s="750"/>
      <c r="AQ36" s="750"/>
      <c r="AR36" s="750"/>
      <c r="AS36" s="750"/>
      <c r="AT36" s="750"/>
      <c r="AU36" s="750"/>
      <c r="AV36" s="750"/>
      <c r="AW36" s="750"/>
      <c r="AX36" s="750"/>
      <c r="AY36" s="750"/>
      <c r="AZ36" s="750"/>
      <c r="BA36" s="750"/>
      <c r="BB36" s="750"/>
      <c r="BC36" s="750"/>
      <c r="BD36" s="750"/>
      <c r="BE36" s="750"/>
      <c r="BF36" s="750"/>
      <c r="BG36" s="750"/>
      <c r="BH36" s="750"/>
      <c r="BI36" s="750"/>
      <c r="BJ36" s="750"/>
      <c r="BK36" s="750"/>
      <c r="BL36" s="750"/>
      <c r="BM36" s="750"/>
      <c r="BN36" s="750"/>
      <c r="BO36" s="750"/>
      <c r="BP36" s="750"/>
      <c r="BQ36" s="750"/>
      <c r="BR36" s="750"/>
      <c r="BS36" s="750"/>
      <c r="BT36" s="750"/>
      <c r="BU36" s="750"/>
    </row>
    <row r="37" spans="1:73" s="764" customFormat="1" ht="12.6" customHeight="1">
      <c r="A37" s="756"/>
      <c r="B37" s="757" t="s">
        <v>397</v>
      </c>
      <c r="C37" s="758"/>
      <c r="D37" s="759" t="s">
        <v>1025</v>
      </c>
      <c r="E37" s="759"/>
      <c r="F37" s="759"/>
      <c r="G37" s="756"/>
      <c r="H37" s="760"/>
      <c r="I37" s="759"/>
      <c r="J37" s="759"/>
      <c r="K37" s="759"/>
      <c r="L37" s="756"/>
      <c r="M37" s="760"/>
      <c r="N37" s="759"/>
      <c r="O37" s="759"/>
      <c r="P37" s="759"/>
      <c r="Q37" s="759"/>
      <c r="R37" s="759"/>
      <c r="S37" s="758"/>
      <c r="T37" s="759"/>
      <c r="U37" s="761" t="s">
        <v>1026</v>
      </c>
      <c r="V37" s="759"/>
      <c r="W37" s="758"/>
      <c r="X37" s="759"/>
      <c r="Y37" s="762" t="s">
        <v>933</v>
      </c>
      <c r="Z37" s="763"/>
      <c r="AA37" s="763"/>
      <c r="AB37" s="763"/>
      <c r="AC37" s="763"/>
      <c r="AD37" s="763"/>
      <c r="AE37" s="763"/>
      <c r="AF37" s="763"/>
      <c r="AG37" s="763"/>
      <c r="AH37" s="763"/>
      <c r="AI37" s="763"/>
      <c r="AJ37" s="763"/>
      <c r="AK37" s="763"/>
      <c r="AL37" s="763"/>
      <c r="AM37" s="763"/>
      <c r="AN37" s="763"/>
      <c r="AO37" s="763"/>
      <c r="AP37" s="763"/>
      <c r="AQ37" s="763"/>
      <c r="AR37" s="763"/>
      <c r="AS37" s="763"/>
      <c r="AT37" s="763"/>
      <c r="AU37" s="763"/>
      <c r="AV37" s="763"/>
      <c r="AW37" s="763"/>
      <c r="AX37" s="763"/>
      <c r="AY37" s="763"/>
      <c r="AZ37" s="763"/>
      <c r="BA37" s="763"/>
      <c r="BB37" s="763"/>
      <c r="BC37" s="763"/>
      <c r="BD37" s="763"/>
      <c r="BE37" s="763"/>
      <c r="BF37" s="763"/>
      <c r="BG37" s="763"/>
      <c r="BH37" s="763"/>
      <c r="BI37" s="763"/>
      <c r="BJ37" s="763"/>
      <c r="BK37" s="763"/>
      <c r="BL37" s="763"/>
      <c r="BM37" s="763"/>
      <c r="BN37" s="763"/>
      <c r="BO37" s="763"/>
      <c r="BP37" s="763"/>
      <c r="BQ37" s="763"/>
      <c r="BR37" s="763"/>
      <c r="BS37" s="763"/>
      <c r="BT37" s="763"/>
      <c r="BU37" s="763"/>
    </row>
    <row r="38" spans="1:73" s="777" customFormat="1" ht="12.6" customHeight="1">
      <c r="A38" s="759"/>
      <c r="B38" s="765">
        <v>1</v>
      </c>
      <c r="C38" s="766"/>
      <c r="D38" s="767" t="s">
        <v>1027</v>
      </c>
      <c r="E38" s="768"/>
      <c r="F38" s="768"/>
      <c r="G38" s="769"/>
      <c r="H38" s="770"/>
      <c r="I38" s="768"/>
      <c r="J38" s="768"/>
      <c r="K38" s="768"/>
      <c r="L38" s="769"/>
      <c r="M38" s="770"/>
      <c r="N38" s="768"/>
      <c r="O38" s="768"/>
      <c r="P38" s="768"/>
      <c r="Q38" s="768"/>
      <c r="R38" s="768"/>
      <c r="S38" s="771"/>
      <c r="T38" s="759"/>
      <c r="U38" s="772"/>
      <c r="V38" s="773"/>
      <c r="W38" s="774"/>
      <c r="X38" s="759"/>
      <c r="Y38" s="775"/>
      <c r="Z38" s="776"/>
      <c r="AA38" s="776"/>
      <c r="AB38" s="776"/>
      <c r="AC38" s="776"/>
      <c r="AD38" s="776"/>
      <c r="AE38" s="776"/>
      <c r="AF38" s="776"/>
      <c r="AG38" s="776"/>
      <c r="AH38" s="776"/>
      <c r="AI38" s="776"/>
      <c r="AJ38" s="776"/>
      <c r="AK38" s="776"/>
      <c r="AL38" s="776"/>
      <c r="AM38" s="776"/>
      <c r="AN38" s="776"/>
      <c r="AO38" s="776"/>
      <c r="AP38" s="776"/>
      <c r="AQ38" s="776"/>
      <c r="AR38" s="776"/>
      <c r="AS38" s="776"/>
      <c r="AT38" s="776"/>
      <c r="AU38" s="776"/>
      <c r="AV38" s="776"/>
      <c r="AW38" s="776"/>
      <c r="AX38" s="776"/>
      <c r="AY38" s="776"/>
      <c r="AZ38" s="776"/>
      <c r="BA38" s="776"/>
      <c r="BB38" s="776"/>
      <c r="BC38" s="776"/>
      <c r="BD38" s="776"/>
      <c r="BE38" s="776"/>
      <c r="BF38" s="776"/>
      <c r="BG38" s="776"/>
      <c r="BH38" s="776"/>
      <c r="BI38" s="776"/>
      <c r="BJ38" s="776"/>
      <c r="BK38" s="776"/>
      <c r="BL38" s="776"/>
      <c r="BM38" s="776"/>
      <c r="BN38" s="776"/>
      <c r="BO38" s="776"/>
      <c r="BP38" s="776"/>
      <c r="BQ38" s="776"/>
      <c r="BR38" s="776"/>
      <c r="BS38" s="776"/>
      <c r="BT38" s="776"/>
      <c r="BU38" s="776"/>
    </row>
    <row r="39" spans="1:73" s="764" customFormat="1" ht="12.6" customHeight="1">
      <c r="A39" s="756"/>
      <c r="B39" s="778">
        <v>2</v>
      </c>
      <c r="C39" s="779"/>
      <c r="D39" s="761" t="s">
        <v>1028</v>
      </c>
      <c r="E39" s="759"/>
      <c r="F39" s="759"/>
      <c r="G39" s="756"/>
      <c r="H39" s="760"/>
      <c r="I39" s="759"/>
      <c r="J39" s="759"/>
      <c r="K39" s="759"/>
      <c r="L39" s="756"/>
      <c r="M39" s="760"/>
      <c r="N39" s="759"/>
      <c r="O39" s="759"/>
      <c r="P39" s="759"/>
      <c r="Q39" s="759"/>
      <c r="R39" s="759"/>
      <c r="S39" s="758"/>
      <c r="T39" s="759"/>
      <c r="U39" s="780"/>
      <c r="V39" s="773"/>
      <c r="W39" s="774"/>
      <c r="X39" s="759"/>
      <c r="Y39" s="775"/>
      <c r="Z39" s="763"/>
      <c r="AA39" s="763"/>
      <c r="AB39" s="763"/>
      <c r="AC39" s="763"/>
      <c r="AD39" s="763"/>
      <c r="AE39" s="763"/>
      <c r="AF39" s="763"/>
      <c r="AG39" s="763"/>
      <c r="AH39" s="763"/>
      <c r="AI39" s="763"/>
      <c r="AJ39" s="763"/>
      <c r="AK39" s="763"/>
      <c r="AL39" s="763"/>
      <c r="AM39" s="763"/>
      <c r="AN39" s="763"/>
      <c r="AO39" s="763"/>
      <c r="AP39" s="763"/>
      <c r="AQ39" s="763"/>
      <c r="AR39" s="763"/>
      <c r="AS39" s="763"/>
      <c r="AT39" s="763"/>
      <c r="AU39" s="763"/>
      <c r="AV39" s="763"/>
      <c r="AW39" s="763"/>
      <c r="AX39" s="763"/>
      <c r="AY39" s="763"/>
      <c r="AZ39" s="763"/>
      <c r="BA39" s="763"/>
      <c r="BB39" s="763"/>
      <c r="BC39" s="763"/>
      <c r="BD39" s="763"/>
      <c r="BE39" s="763"/>
      <c r="BF39" s="763"/>
      <c r="BG39" s="763"/>
      <c r="BH39" s="763"/>
      <c r="BI39" s="763"/>
      <c r="BJ39" s="763"/>
      <c r="BK39" s="763"/>
      <c r="BL39" s="763"/>
      <c r="BM39" s="763"/>
      <c r="BN39" s="763"/>
      <c r="BO39" s="763"/>
      <c r="BP39" s="763"/>
      <c r="BQ39" s="763"/>
      <c r="BR39" s="763"/>
      <c r="BS39" s="763"/>
      <c r="BT39" s="763"/>
      <c r="BU39" s="763"/>
    </row>
    <row r="40" spans="1:73" s="777" customFormat="1" ht="12.6" customHeight="1">
      <c r="A40" s="759"/>
      <c r="B40" s="778">
        <v>3</v>
      </c>
      <c r="C40" s="779"/>
      <c r="D40" s="781" t="s">
        <v>944</v>
      </c>
      <c r="E40" s="782"/>
      <c r="F40" s="782"/>
      <c r="G40" s="783"/>
      <c r="H40" s="784"/>
      <c r="I40" s="782"/>
      <c r="J40" s="782"/>
      <c r="K40" s="782"/>
      <c r="L40" s="783"/>
      <c r="M40" s="784"/>
      <c r="N40" s="782"/>
      <c r="O40" s="782"/>
      <c r="P40" s="782"/>
      <c r="Q40" s="782"/>
      <c r="R40" s="782"/>
      <c r="S40" s="785"/>
      <c r="T40" s="759"/>
      <c r="U40" s="780"/>
      <c r="V40" s="773"/>
      <c r="W40" s="774"/>
      <c r="X40" s="759"/>
      <c r="Y40" s="775"/>
      <c r="Z40" s="776"/>
      <c r="AA40" s="776"/>
      <c r="AB40" s="776"/>
      <c r="AC40" s="776"/>
      <c r="AD40" s="776"/>
      <c r="AE40" s="776"/>
      <c r="AF40" s="776"/>
      <c r="AG40" s="776"/>
      <c r="AH40" s="776"/>
      <c r="AI40" s="776"/>
      <c r="AJ40" s="776"/>
      <c r="AK40" s="776"/>
      <c r="AL40" s="776"/>
      <c r="AM40" s="776"/>
      <c r="AN40" s="776"/>
      <c r="AO40" s="776"/>
      <c r="AP40" s="776"/>
      <c r="AQ40" s="776"/>
      <c r="AR40" s="776"/>
      <c r="AS40" s="776"/>
      <c r="AT40" s="776"/>
      <c r="AU40" s="776"/>
      <c r="AV40" s="776"/>
      <c r="AW40" s="776"/>
      <c r="AX40" s="776"/>
      <c r="AY40" s="776"/>
      <c r="AZ40" s="776"/>
      <c r="BA40" s="776"/>
      <c r="BB40" s="776"/>
      <c r="BC40" s="776"/>
      <c r="BD40" s="776"/>
      <c r="BE40" s="776"/>
      <c r="BF40" s="776"/>
      <c r="BG40" s="776"/>
      <c r="BH40" s="776"/>
      <c r="BI40" s="776"/>
      <c r="BJ40" s="776"/>
      <c r="BK40" s="776"/>
      <c r="BL40" s="776"/>
      <c r="BM40" s="776"/>
      <c r="BN40" s="776"/>
      <c r="BO40" s="776"/>
      <c r="BP40" s="776"/>
      <c r="BQ40" s="776"/>
      <c r="BR40" s="776"/>
      <c r="BS40" s="776"/>
      <c r="BT40" s="776"/>
      <c r="BU40" s="776"/>
    </row>
    <row r="41" spans="1:73" s="764" customFormat="1" ht="12.6" customHeight="1">
      <c r="A41" s="756"/>
      <c r="B41" s="778">
        <v>4</v>
      </c>
      <c r="C41" s="786"/>
      <c r="D41" s="787" t="s">
        <v>1029</v>
      </c>
      <c r="E41" s="769"/>
      <c r="F41" s="769"/>
      <c r="G41" s="769"/>
      <c r="H41" s="769"/>
      <c r="I41" s="769"/>
      <c r="J41" s="788"/>
      <c r="K41" s="756"/>
      <c r="L41" s="787" t="s">
        <v>1030</v>
      </c>
      <c r="M41" s="769"/>
      <c r="N41" s="769"/>
      <c r="O41" s="769"/>
      <c r="P41" s="769"/>
      <c r="Q41" s="769"/>
      <c r="R41" s="769"/>
      <c r="S41" s="788"/>
      <c r="T41" s="756"/>
      <c r="U41" s="780"/>
      <c r="V41" s="773"/>
      <c r="W41" s="774"/>
      <c r="X41" s="756"/>
      <c r="Y41" s="775"/>
      <c r="Z41" s="763"/>
      <c r="AA41" s="763"/>
      <c r="AB41" s="763"/>
      <c r="AC41" s="763"/>
      <c r="AD41" s="763"/>
      <c r="AE41" s="763"/>
      <c r="AF41" s="763"/>
      <c r="AG41" s="763"/>
      <c r="AH41" s="763"/>
      <c r="AI41" s="763"/>
      <c r="AJ41" s="763"/>
      <c r="AK41" s="763"/>
      <c r="AL41" s="763"/>
      <c r="AM41" s="763"/>
      <c r="AN41" s="763"/>
      <c r="AO41" s="763"/>
      <c r="AP41" s="763"/>
      <c r="AQ41" s="763"/>
      <c r="AR41" s="763"/>
      <c r="AS41" s="763"/>
      <c r="AT41" s="763"/>
      <c r="AU41" s="763"/>
      <c r="AV41" s="763"/>
      <c r="AW41" s="763"/>
      <c r="AX41" s="763"/>
      <c r="AY41" s="763"/>
      <c r="AZ41" s="763"/>
      <c r="BA41" s="763"/>
      <c r="BB41" s="763"/>
      <c r="BC41" s="763"/>
      <c r="BD41" s="763"/>
      <c r="BE41" s="763"/>
      <c r="BF41" s="763"/>
      <c r="BG41" s="763"/>
      <c r="BH41" s="763"/>
      <c r="BI41" s="763"/>
      <c r="BJ41" s="763"/>
      <c r="BK41" s="763"/>
      <c r="BL41" s="763"/>
      <c r="BM41" s="763"/>
      <c r="BN41" s="763"/>
      <c r="BO41" s="763"/>
      <c r="BP41" s="763"/>
      <c r="BQ41" s="763"/>
      <c r="BR41" s="763"/>
      <c r="BS41" s="763"/>
      <c r="BT41" s="763"/>
      <c r="BU41" s="763"/>
    </row>
    <row r="42" spans="1:73" s="791" customFormat="1" ht="12.6" customHeight="1">
      <c r="A42" s="759"/>
      <c r="B42" s="789"/>
      <c r="C42" s="779"/>
      <c r="D42" s="761"/>
      <c r="E42" s="759"/>
      <c r="F42" s="759"/>
      <c r="G42" s="759"/>
      <c r="H42" s="759"/>
      <c r="I42" s="759"/>
      <c r="J42" s="758"/>
      <c r="K42" s="759"/>
      <c r="L42" s="761" t="s">
        <v>1031</v>
      </c>
      <c r="M42" s="759"/>
      <c r="N42" s="759"/>
      <c r="O42" s="759"/>
      <c r="P42" s="759"/>
      <c r="Q42" s="759"/>
      <c r="R42" s="759"/>
      <c r="S42" s="758"/>
      <c r="T42" s="759"/>
      <c r="U42" s="780"/>
      <c r="V42" s="773"/>
      <c r="W42" s="774"/>
      <c r="X42" s="759"/>
      <c r="Y42" s="775"/>
      <c r="Z42" s="790"/>
      <c r="AA42" s="790"/>
      <c r="AB42" s="790"/>
      <c r="AC42" s="790"/>
      <c r="AD42" s="790"/>
      <c r="AE42" s="790"/>
      <c r="AF42" s="790"/>
      <c r="AG42" s="790"/>
      <c r="AH42" s="790"/>
      <c r="AI42" s="790"/>
      <c r="AJ42" s="790"/>
      <c r="AK42" s="790"/>
      <c r="AL42" s="790"/>
      <c r="AM42" s="790"/>
      <c r="AN42" s="790"/>
      <c r="AO42" s="790"/>
      <c r="AP42" s="790"/>
      <c r="AQ42" s="790"/>
      <c r="AR42" s="790"/>
      <c r="AS42" s="790"/>
      <c r="AT42" s="790"/>
      <c r="AU42" s="790"/>
      <c r="AV42" s="790"/>
      <c r="AW42" s="790"/>
      <c r="AX42" s="790"/>
      <c r="AY42" s="790"/>
      <c r="AZ42" s="790"/>
      <c r="BA42" s="790"/>
      <c r="BB42" s="790"/>
      <c r="BC42" s="790"/>
      <c r="BD42" s="790"/>
      <c r="BE42" s="790"/>
      <c r="BF42" s="790"/>
      <c r="BG42" s="790"/>
      <c r="BH42" s="790"/>
      <c r="BI42" s="790"/>
      <c r="BJ42" s="790"/>
      <c r="BK42" s="790"/>
      <c r="BL42" s="790"/>
      <c r="BM42" s="790"/>
      <c r="BN42" s="790"/>
      <c r="BO42" s="790"/>
      <c r="BP42" s="790"/>
      <c r="BQ42" s="790"/>
      <c r="BR42" s="790"/>
      <c r="BS42" s="790"/>
      <c r="BT42" s="790"/>
      <c r="BU42" s="790"/>
    </row>
    <row r="43" spans="1:73" s="791" customFormat="1" ht="12.6" customHeight="1">
      <c r="A43" s="759"/>
      <c r="B43" s="789"/>
      <c r="C43" s="779"/>
      <c r="D43" s="761"/>
      <c r="E43" s="759"/>
      <c r="F43" s="759"/>
      <c r="G43" s="759"/>
      <c r="H43" s="759"/>
      <c r="I43" s="759"/>
      <c r="J43" s="758"/>
      <c r="K43" s="759"/>
      <c r="L43" s="761" t="s">
        <v>1032</v>
      </c>
      <c r="M43" s="759"/>
      <c r="N43" s="759"/>
      <c r="O43" s="759"/>
      <c r="P43" s="759"/>
      <c r="Q43" s="759"/>
      <c r="R43" s="759"/>
      <c r="S43" s="758"/>
      <c r="T43" s="759"/>
      <c r="U43" s="780"/>
      <c r="V43" s="773"/>
      <c r="W43" s="774"/>
      <c r="X43" s="759"/>
      <c r="Y43" s="775"/>
      <c r="Z43" s="790"/>
      <c r="AA43" s="790"/>
      <c r="AB43" s="790"/>
      <c r="AC43" s="790"/>
      <c r="AD43" s="790"/>
      <c r="AE43" s="790"/>
      <c r="AF43" s="790"/>
      <c r="AG43" s="790"/>
      <c r="AH43" s="790"/>
      <c r="AI43" s="790"/>
      <c r="AJ43" s="790"/>
      <c r="AK43" s="790"/>
      <c r="AL43" s="790"/>
      <c r="AM43" s="790"/>
      <c r="AN43" s="790"/>
      <c r="AO43" s="790"/>
      <c r="AP43" s="790"/>
      <c r="AQ43" s="790"/>
      <c r="AR43" s="790"/>
      <c r="AS43" s="790"/>
      <c r="AT43" s="790"/>
      <c r="AU43" s="790"/>
      <c r="AV43" s="790"/>
      <c r="AW43" s="790"/>
      <c r="AX43" s="790"/>
      <c r="AY43" s="790"/>
      <c r="AZ43" s="790"/>
      <c r="BA43" s="790"/>
      <c r="BB43" s="790"/>
      <c r="BC43" s="790"/>
      <c r="BD43" s="790"/>
      <c r="BE43" s="790"/>
      <c r="BF43" s="790"/>
      <c r="BG43" s="790"/>
      <c r="BH43" s="790"/>
      <c r="BI43" s="790"/>
      <c r="BJ43" s="790"/>
      <c r="BK43" s="790"/>
      <c r="BL43" s="790"/>
      <c r="BM43" s="790"/>
      <c r="BN43" s="790"/>
      <c r="BO43" s="790"/>
      <c r="BP43" s="790"/>
      <c r="BQ43" s="790"/>
      <c r="BR43" s="790"/>
      <c r="BS43" s="790"/>
      <c r="BT43" s="790"/>
      <c r="BU43" s="790"/>
    </row>
    <row r="44" spans="1:73" s="777" customFormat="1" ht="12.6" customHeight="1">
      <c r="A44" s="759"/>
      <c r="B44" s="789"/>
      <c r="C44" s="786"/>
      <c r="D44" s="761"/>
      <c r="E44" s="759"/>
      <c r="F44" s="759"/>
      <c r="G44" s="759"/>
      <c r="H44" s="759"/>
      <c r="I44" s="759"/>
      <c r="J44" s="758"/>
      <c r="K44" s="759"/>
      <c r="L44" s="761" t="s">
        <v>1033</v>
      </c>
      <c r="M44" s="759"/>
      <c r="N44" s="759"/>
      <c r="O44" s="759"/>
      <c r="P44" s="759"/>
      <c r="Q44" s="759"/>
      <c r="R44" s="759"/>
      <c r="S44" s="758"/>
      <c r="T44" s="759"/>
      <c r="U44" s="780"/>
      <c r="V44" s="773"/>
      <c r="W44" s="774"/>
      <c r="X44" s="759"/>
      <c r="Y44" s="775"/>
      <c r="Z44" s="776"/>
      <c r="AA44" s="776"/>
      <c r="AB44" s="776"/>
      <c r="AC44" s="776"/>
      <c r="AD44" s="776"/>
      <c r="AE44" s="776"/>
      <c r="AF44" s="776"/>
      <c r="AG44" s="776"/>
      <c r="AH44" s="776"/>
      <c r="AI44" s="776"/>
      <c r="AJ44" s="776"/>
      <c r="AK44" s="776"/>
      <c r="AL44" s="776"/>
      <c r="AM44" s="776"/>
      <c r="AN44" s="776"/>
      <c r="AO44" s="776"/>
      <c r="AP44" s="776"/>
      <c r="AQ44" s="776"/>
      <c r="AR44" s="776"/>
      <c r="AS44" s="776"/>
      <c r="AT44" s="776"/>
      <c r="AU44" s="776"/>
      <c r="AV44" s="776"/>
      <c r="AW44" s="776"/>
      <c r="AX44" s="776"/>
      <c r="AY44" s="776"/>
      <c r="AZ44" s="776"/>
      <c r="BA44" s="776"/>
      <c r="BB44" s="776"/>
      <c r="BC44" s="776"/>
      <c r="BD44" s="776"/>
      <c r="BE44" s="776"/>
      <c r="BF44" s="776"/>
      <c r="BG44" s="776"/>
      <c r="BH44" s="776"/>
      <c r="BI44" s="776"/>
      <c r="BJ44" s="776"/>
      <c r="BK44" s="776"/>
      <c r="BL44" s="776"/>
      <c r="BM44" s="776"/>
      <c r="BN44" s="776"/>
      <c r="BO44" s="776"/>
      <c r="BP44" s="776"/>
      <c r="BQ44" s="776"/>
      <c r="BR44" s="776"/>
      <c r="BS44" s="776"/>
      <c r="BT44" s="776"/>
      <c r="BU44" s="776"/>
    </row>
    <row r="45" spans="1:73" s="777" customFormat="1" ht="12.6" customHeight="1">
      <c r="A45" s="759"/>
      <c r="B45" s="778"/>
      <c r="C45" s="779"/>
      <c r="D45" s="781"/>
      <c r="E45" s="782"/>
      <c r="F45" s="782"/>
      <c r="G45" s="782"/>
      <c r="H45" s="792"/>
      <c r="I45" s="782"/>
      <c r="J45" s="785"/>
      <c r="K45" s="759"/>
      <c r="L45" s="793" t="s">
        <v>1034</v>
      </c>
      <c r="M45" s="792"/>
      <c r="N45" s="782"/>
      <c r="O45" s="794"/>
      <c r="P45" s="782"/>
      <c r="Q45" s="782"/>
      <c r="R45" s="782"/>
      <c r="S45" s="785"/>
      <c r="T45" s="759"/>
      <c r="U45" s="780"/>
      <c r="V45" s="773"/>
      <c r="W45" s="774"/>
      <c r="X45" s="759"/>
      <c r="Y45" s="775"/>
      <c r="Z45" s="776"/>
      <c r="AA45" s="776"/>
      <c r="AB45" s="776"/>
      <c r="AC45" s="776"/>
      <c r="AD45" s="776"/>
      <c r="AE45" s="776"/>
      <c r="AF45" s="776"/>
      <c r="AG45" s="776"/>
      <c r="AH45" s="776"/>
      <c r="AI45" s="776"/>
      <c r="AJ45" s="776"/>
      <c r="AK45" s="776"/>
      <c r="AL45" s="776"/>
      <c r="AM45" s="776"/>
      <c r="AN45" s="776"/>
      <c r="AO45" s="776"/>
      <c r="AP45" s="776"/>
      <c r="AQ45" s="776"/>
      <c r="AR45" s="776"/>
      <c r="AS45" s="776"/>
      <c r="AT45" s="776"/>
      <c r="AU45" s="776"/>
      <c r="AV45" s="776"/>
      <c r="AW45" s="776"/>
      <c r="AX45" s="776"/>
      <c r="AY45" s="776"/>
      <c r="AZ45" s="776"/>
      <c r="BA45" s="776"/>
      <c r="BB45" s="776"/>
      <c r="BC45" s="776"/>
      <c r="BD45" s="776"/>
      <c r="BE45" s="776"/>
      <c r="BF45" s="776"/>
      <c r="BG45" s="776"/>
      <c r="BH45" s="776"/>
      <c r="BI45" s="776"/>
      <c r="BJ45" s="776"/>
      <c r="BK45" s="776"/>
      <c r="BL45" s="776"/>
      <c r="BM45" s="776"/>
      <c r="BN45" s="776"/>
      <c r="BO45" s="776"/>
      <c r="BP45" s="776"/>
      <c r="BQ45" s="776"/>
      <c r="BR45" s="776"/>
      <c r="BS45" s="776"/>
      <c r="BT45" s="776"/>
      <c r="BU45" s="776"/>
    </row>
    <row r="46" spans="1:73" s="803" customFormat="1" ht="12.6" customHeight="1">
      <c r="A46" s="756"/>
      <c r="B46" s="778">
        <v>5</v>
      </c>
      <c r="C46" s="795"/>
      <c r="D46" s="761" t="s">
        <v>1035</v>
      </c>
      <c r="E46" s="796"/>
      <c r="F46" s="756"/>
      <c r="G46" s="796"/>
      <c r="H46" s="797"/>
      <c r="I46" s="796"/>
      <c r="J46" s="798"/>
      <c r="K46" s="796"/>
      <c r="L46" s="787" t="s">
        <v>1036</v>
      </c>
      <c r="M46" s="799"/>
      <c r="N46" s="800"/>
      <c r="O46" s="800"/>
      <c r="P46" s="800"/>
      <c r="Q46" s="800"/>
      <c r="R46" s="769"/>
      <c r="S46" s="801"/>
      <c r="T46" s="796"/>
      <c r="U46" s="780"/>
      <c r="V46" s="773"/>
      <c r="W46" s="774"/>
      <c r="X46" s="796"/>
      <c r="Y46" s="775"/>
      <c r="Z46" s="802"/>
      <c r="AA46" s="802"/>
      <c r="AB46" s="802"/>
      <c r="AC46" s="802"/>
      <c r="AD46" s="802"/>
      <c r="AE46" s="802"/>
      <c r="AF46" s="802"/>
      <c r="AG46" s="802"/>
      <c r="AH46" s="802"/>
      <c r="AI46" s="802"/>
      <c r="AJ46" s="802"/>
      <c r="AK46" s="802"/>
      <c r="AL46" s="802"/>
      <c r="AM46" s="802"/>
      <c r="AN46" s="802"/>
      <c r="AO46" s="802"/>
      <c r="AP46" s="802"/>
      <c r="AQ46" s="802"/>
      <c r="AR46" s="802"/>
      <c r="AS46" s="802"/>
      <c r="AT46" s="802"/>
      <c r="AU46" s="802"/>
      <c r="AV46" s="802"/>
      <c r="AW46" s="802"/>
      <c r="AX46" s="802"/>
      <c r="AY46" s="802"/>
      <c r="AZ46" s="802"/>
      <c r="BA46" s="802"/>
      <c r="BB46" s="802"/>
      <c r="BC46" s="802"/>
      <c r="BD46" s="802"/>
      <c r="BE46" s="802"/>
      <c r="BF46" s="802"/>
      <c r="BG46" s="802"/>
      <c r="BH46" s="802"/>
      <c r="BI46" s="802"/>
      <c r="BJ46" s="802"/>
      <c r="BK46" s="802"/>
      <c r="BL46" s="802"/>
      <c r="BM46" s="802"/>
      <c r="BN46" s="802"/>
      <c r="BO46" s="802"/>
      <c r="BP46" s="802"/>
      <c r="BQ46" s="802"/>
      <c r="BR46" s="802"/>
      <c r="BS46" s="802"/>
      <c r="BT46" s="802"/>
      <c r="BU46" s="802"/>
    </row>
    <row r="47" spans="1:73" s="777" customFormat="1" ht="12.6" customHeight="1">
      <c r="A47" s="759"/>
      <c r="B47" s="778"/>
      <c r="C47" s="779"/>
      <c r="D47" s="761"/>
      <c r="E47" s="759"/>
      <c r="F47" s="759"/>
      <c r="G47" s="759"/>
      <c r="H47" s="797"/>
      <c r="I47" s="759"/>
      <c r="J47" s="758"/>
      <c r="K47" s="759"/>
      <c r="L47" s="757" t="s">
        <v>1037</v>
      </c>
      <c r="M47" s="797"/>
      <c r="N47" s="759"/>
      <c r="O47" s="759"/>
      <c r="P47" s="759"/>
      <c r="Q47" s="759"/>
      <c r="R47" s="759"/>
      <c r="S47" s="758"/>
      <c r="T47" s="759"/>
      <c r="U47" s="780"/>
      <c r="V47" s="773"/>
      <c r="W47" s="774"/>
      <c r="X47" s="759"/>
      <c r="Y47" s="775"/>
      <c r="Z47" s="776"/>
      <c r="AA47" s="776"/>
      <c r="AB47" s="776"/>
      <c r="AC47" s="776"/>
      <c r="AD47" s="776"/>
      <c r="AE47" s="776"/>
      <c r="AF47" s="776"/>
      <c r="AG47" s="776"/>
      <c r="AH47" s="776"/>
      <c r="AI47" s="776"/>
      <c r="AJ47" s="776"/>
      <c r="AK47" s="776"/>
      <c r="AL47" s="776"/>
      <c r="AM47" s="776"/>
      <c r="AN47" s="776"/>
      <c r="AO47" s="776"/>
      <c r="AP47" s="776"/>
      <c r="AQ47" s="776"/>
      <c r="AR47" s="776"/>
      <c r="AS47" s="776"/>
      <c r="AT47" s="776"/>
      <c r="AU47" s="776"/>
      <c r="AV47" s="776"/>
      <c r="AW47" s="776"/>
      <c r="AX47" s="776"/>
      <c r="AY47" s="776"/>
      <c r="AZ47" s="776"/>
      <c r="BA47" s="776"/>
      <c r="BB47" s="776"/>
      <c r="BC47" s="776"/>
      <c r="BD47" s="776"/>
      <c r="BE47" s="776"/>
      <c r="BF47" s="776"/>
      <c r="BG47" s="776"/>
      <c r="BH47" s="776"/>
      <c r="BI47" s="776"/>
      <c r="BJ47" s="776"/>
      <c r="BK47" s="776"/>
      <c r="BL47" s="776"/>
      <c r="BM47" s="776"/>
      <c r="BN47" s="776"/>
      <c r="BO47" s="776"/>
      <c r="BP47" s="776"/>
      <c r="BQ47" s="776"/>
      <c r="BR47" s="776"/>
      <c r="BS47" s="776"/>
      <c r="BT47" s="776"/>
      <c r="BU47" s="776"/>
    </row>
    <row r="48" spans="1:73" s="777" customFormat="1" ht="12.6" customHeight="1">
      <c r="A48" s="759"/>
      <c r="B48" s="778"/>
      <c r="C48" s="779"/>
      <c r="D48" s="761"/>
      <c r="E48" s="759"/>
      <c r="F48" s="759"/>
      <c r="G48" s="759"/>
      <c r="H48" s="797"/>
      <c r="I48" s="759"/>
      <c r="J48" s="758"/>
      <c r="K48" s="759"/>
      <c r="L48" s="757" t="s">
        <v>1038</v>
      </c>
      <c r="M48" s="797"/>
      <c r="N48" s="759"/>
      <c r="O48" s="759"/>
      <c r="P48" s="759"/>
      <c r="Q48" s="759"/>
      <c r="R48" s="759"/>
      <c r="S48" s="758"/>
      <c r="T48" s="759"/>
      <c r="U48" s="780"/>
      <c r="V48" s="773"/>
      <c r="W48" s="774"/>
      <c r="X48" s="759"/>
      <c r="Y48" s="775"/>
      <c r="Z48" s="776"/>
      <c r="AA48" s="776"/>
      <c r="AB48" s="776"/>
      <c r="AC48" s="776"/>
      <c r="AD48" s="776"/>
      <c r="AE48" s="776"/>
      <c r="AF48" s="776"/>
      <c r="AG48" s="776"/>
      <c r="AH48" s="776"/>
      <c r="AI48" s="776"/>
      <c r="AJ48" s="776"/>
      <c r="AK48" s="776"/>
      <c r="AL48" s="776"/>
      <c r="AM48" s="776"/>
      <c r="AN48" s="776"/>
      <c r="AO48" s="776"/>
      <c r="AP48" s="776"/>
      <c r="AQ48" s="776"/>
      <c r="AR48" s="776"/>
      <c r="AS48" s="776"/>
      <c r="AT48" s="776"/>
      <c r="AU48" s="776"/>
      <c r="AV48" s="776"/>
      <c r="AW48" s="776"/>
      <c r="AX48" s="776"/>
      <c r="AY48" s="776"/>
      <c r="AZ48" s="776"/>
      <c r="BA48" s="776"/>
      <c r="BB48" s="776"/>
      <c r="BC48" s="776"/>
      <c r="BD48" s="776"/>
      <c r="BE48" s="776"/>
      <c r="BF48" s="776"/>
      <c r="BG48" s="776"/>
      <c r="BH48" s="776"/>
      <c r="BI48" s="776"/>
      <c r="BJ48" s="776"/>
      <c r="BK48" s="776"/>
      <c r="BL48" s="776"/>
      <c r="BM48" s="776"/>
      <c r="BN48" s="776"/>
      <c r="BO48" s="776"/>
      <c r="BP48" s="776"/>
      <c r="BQ48" s="776"/>
      <c r="BR48" s="776"/>
      <c r="BS48" s="776"/>
      <c r="BT48" s="776"/>
      <c r="BU48" s="776"/>
    </row>
    <row r="49" spans="1:73" s="777" customFormat="1" ht="12.6" customHeight="1">
      <c r="A49" s="759"/>
      <c r="B49" s="789">
        <v>6</v>
      </c>
      <c r="C49" s="779"/>
      <c r="D49" s="804" t="s">
        <v>1039</v>
      </c>
      <c r="E49" s="768"/>
      <c r="F49" s="768"/>
      <c r="G49" s="768"/>
      <c r="H49" s="770"/>
      <c r="I49" s="768"/>
      <c r="J49" s="771"/>
      <c r="K49" s="759"/>
      <c r="L49" s="787" t="s">
        <v>1040</v>
      </c>
      <c r="M49" s="770"/>
      <c r="N49" s="768"/>
      <c r="O49" s="768"/>
      <c r="P49" s="768"/>
      <c r="Q49" s="768"/>
      <c r="R49" s="768"/>
      <c r="S49" s="771"/>
      <c r="T49" s="759"/>
      <c r="U49" s="780"/>
      <c r="V49" s="773"/>
      <c r="W49" s="774"/>
      <c r="X49" s="759"/>
      <c r="Y49" s="775"/>
      <c r="Z49" s="776"/>
      <c r="AA49" s="776"/>
      <c r="AB49" s="776"/>
      <c r="AC49" s="776"/>
      <c r="AD49" s="776"/>
      <c r="AE49" s="776"/>
      <c r="AF49" s="776"/>
      <c r="AG49" s="776"/>
      <c r="AH49" s="776"/>
      <c r="AI49" s="776"/>
      <c r="AJ49" s="776"/>
      <c r="AK49" s="776"/>
      <c r="AL49" s="776"/>
      <c r="AM49" s="776"/>
      <c r="AN49" s="776"/>
      <c r="AO49" s="776"/>
      <c r="AP49" s="776"/>
      <c r="AQ49" s="776"/>
      <c r="AR49" s="776"/>
      <c r="AS49" s="776"/>
      <c r="AT49" s="776"/>
      <c r="AU49" s="776"/>
      <c r="AV49" s="776"/>
      <c r="AW49" s="776"/>
      <c r="AX49" s="776"/>
      <c r="AY49" s="776"/>
      <c r="AZ49" s="776"/>
      <c r="BA49" s="776"/>
      <c r="BB49" s="776"/>
      <c r="BC49" s="776"/>
      <c r="BD49" s="776"/>
      <c r="BE49" s="776"/>
      <c r="BF49" s="776"/>
      <c r="BG49" s="776"/>
      <c r="BH49" s="776"/>
      <c r="BI49" s="776"/>
      <c r="BJ49" s="776"/>
      <c r="BK49" s="776"/>
      <c r="BL49" s="776"/>
      <c r="BM49" s="776"/>
      <c r="BN49" s="776"/>
      <c r="BO49" s="776"/>
      <c r="BP49" s="776"/>
      <c r="BQ49" s="776"/>
      <c r="BR49" s="776"/>
      <c r="BS49" s="776"/>
      <c r="BT49" s="776"/>
      <c r="BU49" s="776"/>
    </row>
    <row r="50" spans="1:73" s="764" customFormat="1" ht="12.6" customHeight="1">
      <c r="A50" s="756"/>
      <c r="B50" s="778"/>
      <c r="C50" s="786"/>
      <c r="D50" s="757"/>
      <c r="E50" s="756"/>
      <c r="F50" s="756"/>
      <c r="G50" s="756"/>
      <c r="H50" s="756"/>
      <c r="I50" s="756"/>
      <c r="J50" s="805"/>
      <c r="K50" s="756"/>
      <c r="L50" s="757" t="s">
        <v>1041</v>
      </c>
      <c r="M50" s="756"/>
      <c r="N50" s="756"/>
      <c r="O50" s="756"/>
      <c r="P50" s="756"/>
      <c r="Q50" s="756"/>
      <c r="R50" s="756"/>
      <c r="S50" s="805"/>
      <c r="T50" s="756"/>
      <c r="U50" s="780"/>
      <c r="V50" s="773"/>
      <c r="W50" s="774"/>
      <c r="X50" s="756"/>
      <c r="Y50" s="775"/>
      <c r="Z50" s="763"/>
      <c r="AA50" s="763"/>
      <c r="AB50" s="763"/>
      <c r="AC50" s="763"/>
      <c r="AD50" s="763"/>
      <c r="AE50" s="763"/>
      <c r="AF50" s="763"/>
      <c r="AG50" s="763"/>
      <c r="AH50" s="763"/>
      <c r="AI50" s="763"/>
      <c r="AJ50" s="763"/>
      <c r="AK50" s="763"/>
      <c r="AL50" s="763"/>
      <c r="AM50" s="763"/>
      <c r="AN50" s="763"/>
      <c r="AO50" s="763"/>
      <c r="AP50" s="763"/>
      <c r="AQ50" s="763"/>
      <c r="AR50" s="763"/>
      <c r="AS50" s="763"/>
      <c r="AT50" s="763"/>
      <c r="AU50" s="763"/>
      <c r="AV50" s="763"/>
      <c r="AW50" s="763"/>
      <c r="AX50" s="763"/>
      <c r="AY50" s="763"/>
      <c r="AZ50" s="763"/>
      <c r="BA50" s="763"/>
      <c r="BB50" s="763"/>
      <c r="BC50" s="763"/>
      <c r="BD50" s="763"/>
      <c r="BE50" s="763"/>
      <c r="BF50" s="763"/>
      <c r="BG50" s="763"/>
      <c r="BH50" s="763"/>
      <c r="BI50" s="763"/>
      <c r="BJ50" s="763"/>
      <c r="BK50" s="763"/>
      <c r="BL50" s="763"/>
      <c r="BM50" s="763"/>
      <c r="BN50" s="763"/>
      <c r="BO50" s="763"/>
      <c r="BP50" s="763"/>
      <c r="BQ50" s="763"/>
      <c r="BR50" s="763"/>
      <c r="BS50" s="763"/>
      <c r="BT50" s="763"/>
      <c r="BU50" s="763"/>
    </row>
    <row r="51" spans="1:73" s="764" customFormat="1" ht="12.6" customHeight="1">
      <c r="A51" s="756"/>
      <c r="B51" s="778"/>
      <c r="C51" s="786"/>
      <c r="D51" s="757"/>
      <c r="E51" s="756"/>
      <c r="F51" s="756"/>
      <c r="G51" s="756"/>
      <c r="H51" s="756"/>
      <c r="I51" s="756"/>
      <c r="J51" s="805"/>
      <c r="K51" s="756"/>
      <c r="L51" s="757" t="s">
        <v>1042</v>
      </c>
      <c r="M51" s="756"/>
      <c r="N51" s="756"/>
      <c r="O51" s="756"/>
      <c r="P51" s="756"/>
      <c r="Q51" s="756"/>
      <c r="R51" s="756"/>
      <c r="S51" s="805"/>
      <c r="T51" s="756"/>
      <c r="U51" s="780"/>
      <c r="V51" s="773"/>
      <c r="W51" s="774"/>
      <c r="X51" s="756"/>
      <c r="Y51" s="775"/>
      <c r="Z51" s="763"/>
      <c r="AA51" s="763"/>
      <c r="AB51" s="763"/>
      <c r="AC51" s="763"/>
      <c r="AD51" s="763"/>
      <c r="AE51" s="763"/>
      <c r="AF51" s="763"/>
      <c r="AG51" s="763"/>
      <c r="AH51" s="763"/>
      <c r="AI51" s="763"/>
      <c r="AJ51" s="763"/>
      <c r="AK51" s="763"/>
      <c r="AL51" s="763"/>
      <c r="AM51" s="763"/>
      <c r="AN51" s="763"/>
      <c r="AO51" s="763"/>
      <c r="AP51" s="763"/>
      <c r="AQ51" s="763"/>
      <c r="AR51" s="763"/>
      <c r="AS51" s="763"/>
      <c r="AT51" s="763"/>
      <c r="AU51" s="763"/>
      <c r="AV51" s="763"/>
      <c r="AW51" s="763"/>
      <c r="AX51" s="763"/>
      <c r="AY51" s="763"/>
      <c r="AZ51" s="763"/>
      <c r="BA51" s="763"/>
      <c r="BB51" s="763"/>
      <c r="BC51" s="763"/>
      <c r="BD51" s="763"/>
      <c r="BE51" s="763"/>
      <c r="BF51" s="763"/>
      <c r="BG51" s="763"/>
      <c r="BH51" s="763"/>
      <c r="BI51" s="763"/>
      <c r="BJ51" s="763"/>
      <c r="BK51" s="763"/>
      <c r="BL51" s="763"/>
      <c r="BM51" s="763"/>
      <c r="BN51" s="763"/>
      <c r="BO51" s="763"/>
      <c r="BP51" s="763"/>
      <c r="BQ51" s="763"/>
      <c r="BR51" s="763"/>
      <c r="BS51" s="763"/>
      <c r="BT51" s="763"/>
      <c r="BU51" s="763"/>
    </row>
    <row r="52" spans="1:73" s="764" customFormat="1" ht="12.6" customHeight="1">
      <c r="A52" s="756"/>
      <c r="B52" s="778"/>
      <c r="C52" s="786"/>
      <c r="D52" s="757"/>
      <c r="E52" s="756"/>
      <c r="F52" s="756"/>
      <c r="G52" s="756"/>
      <c r="H52" s="756"/>
      <c r="I52" s="756"/>
      <c r="J52" s="805"/>
      <c r="K52" s="756"/>
      <c r="L52" s="757" t="s">
        <v>1043</v>
      </c>
      <c r="M52" s="756"/>
      <c r="N52" s="756"/>
      <c r="O52" s="756"/>
      <c r="P52" s="756"/>
      <c r="Q52" s="756"/>
      <c r="R52" s="756"/>
      <c r="S52" s="805"/>
      <c r="T52" s="756"/>
      <c r="U52" s="780"/>
      <c r="V52" s="773"/>
      <c r="W52" s="774"/>
      <c r="X52" s="756"/>
      <c r="Y52" s="775"/>
      <c r="Z52" s="763"/>
      <c r="AA52" s="763"/>
      <c r="AB52" s="763"/>
      <c r="AC52" s="763"/>
      <c r="AD52" s="763"/>
      <c r="AE52" s="763"/>
      <c r="AF52" s="763"/>
      <c r="AG52" s="763"/>
      <c r="AH52" s="763"/>
      <c r="AI52" s="763"/>
      <c r="AJ52" s="763"/>
      <c r="AK52" s="763"/>
      <c r="AL52" s="763"/>
      <c r="AM52" s="763"/>
      <c r="AN52" s="763"/>
      <c r="AO52" s="763"/>
      <c r="AP52" s="763"/>
      <c r="AQ52" s="763"/>
      <c r="AR52" s="763"/>
      <c r="AS52" s="763"/>
      <c r="AT52" s="763"/>
      <c r="AU52" s="763"/>
      <c r="AV52" s="763"/>
      <c r="AW52" s="763"/>
      <c r="AX52" s="763"/>
      <c r="AY52" s="763"/>
      <c r="AZ52" s="763"/>
      <c r="BA52" s="763"/>
      <c r="BB52" s="763"/>
      <c r="BC52" s="763"/>
      <c r="BD52" s="763"/>
      <c r="BE52" s="763"/>
      <c r="BF52" s="763"/>
      <c r="BG52" s="763"/>
      <c r="BH52" s="763"/>
      <c r="BI52" s="763"/>
      <c r="BJ52" s="763"/>
      <c r="BK52" s="763"/>
      <c r="BL52" s="763"/>
      <c r="BM52" s="763"/>
      <c r="BN52" s="763"/>
      <c r="BO52" s="763"/>
      <c r="BP52" s="763"/>
      <c r="BQ52" s="763"/>
      <c r="BR52" s="763"/>
      <c r="BS52" s="763"/>
      <c r="BT52" s="763"/>
      <c r="BU52" s="763"/>
    </row>
    <row r="53" spans="1:73" s="764" customFormat="1" ht="12.6" customHeight="1">
      <c r="A53" s="756"/>
      <c r="B53" s="778"/>
      <c r="C53" s="786"/>
      <c r="D53" s="757"/>
      <c r="E53" s="756"/>
      <c r="F53" s="756"/>
      <c r="G53" s="756"/>
      <c r="H53" s="756"/>
      <c r="I53" s="756"/>
      <c r="J53" s="805"/>
      <c r="K53" s="756"/>
      <c r="L53" s="757" t="s">
        <v>1044</v>
      </c>
      <c r="M53" s="756"/>
      <c r="N53" s="756"/>
      <c r="O53" s="756"/>
      <c r="P53" s="756"/>
      <c r="Q53" s="756"/>
      <c r="R53" s="756"/>
      <c r="S53" s="805"/>
      <c r="T53" s="756"/>
      <c r="U53" s="780"/>
      <c r="V53" s="773"/>
      <c r="W53" s="774"/>
      <c r="X53" s="756"/>
      <c r="Y53" s="775"/>
      <c r="Z53" s="763"/>
      <c r="AA53" s="763"/>
      <c r="AB53" s="763"/>
      <c r="AC53" s="763"/>
      <c r="AD53" s="763"/>
      <c r="AE53" s="763"/>
      <c r="AF53" s="763"/>
      <c r="AG53" s="763"/>
      <c r="AH53" s="763"/>
      <c r="AI53" s="763"/>
      <c r="AJ53" s="763"/>
      <c r="AK53" s="763"/>
      <c r="AL53" s="763"/>
      <c r="AM53" s="763"/>
      <c r="AN53" s="763"/>
      <c r="AO53" s="763"/>
      <c r="AP53" s="763"/>
      <c r="AQ53" s="763"/>
      <c r="AR53" s="763"/>
      <c r="AS53" s="763"/>
      <c r="AT53" s="763"/>
      <c r="AU53" s="763"/>
      <c r="AV53" s="763"/>
      <c r="AW53" s="763"/>
      <c r="AX53" s="763"/>
      <c r="AY53" s="763"/>
      <c r="AZ53" s="763"/>
      <c r="BA53" s="763"/>
      <c r="BB53" s="763"/>
      <c r="BC53" s="763"/>
      <c r="BD53" s="763"/>
      <c r="BE53" s="763"/>
      <c r="BF53" s="763"/>
      <c r="BG53" s="763"/>
      <c r="BH53" s="763"/>
      <c r="BI53" s="763"/>
      <c r="BJ53" s="763"/>
      <c r="BK53" s="763"/>
      <c r="BL53" s="763"/>
      <c r="BM53" s="763"/>
      <c r="BN53" s="763"/>
      <c r="BO53" s="763"/>
      <c r="BP53" s="763"/>
      <c r="BQ53" s="763"/>
      <c r="BR53" s="763"/>
      <c r="BS53" s="763"/>
      <c r="BT53" s="763"/>
      <c r="BU53" s="763"/>
    </row>
    <row r="54" spans="1:73" s="764" customFormat="1" ht="12.6" customHeight="1">
      <c r="A54" s="756"/>
      <c r="B54" s="778"/>
      <c r="C54" s="786"/>
      <c r="D54" s="757"/>
      <c r="E54" s="756"/>
      <c r="F54" s="756"/>
      <c r="G54" s="756"/>
      <c r="H54" s="756"/>
      <c r="I54" s="756"/>
      <c r="J54" s="805"/>
      <c r="K54" s="756"/>
      <c r="L54" s="793" t="s">
        <v>1045</v>
      </c>
      <c r="M54" s="783"/>
      <c r="N54" s="783"/>
      <c r="O54" s="783"/>
      <c r="P54" s="783"/>
      <c r="Q54" s="783"/>
      <c r="R54" s="783"/>
      <c r="S54" s="806"/>
      <c r="T54" s="756"/>
      <c r="U54" s="780"/>
      <c r="V54" s="773"/>
      <c r="W54" s="774"/>
      <c r="X54" s="756"/>
      <c r="Y54" s="775"/>
      <c r="Z54" s="763"/>
      <c r="AA54" s="763"/>
      <c r="AB54" s="763"/>
      <c r="AC54" s="763"/>
      <c r="AD54" s="763"/>
      <c r="AE54" s="763"/>
      <c r="AF54" s="763"/>
      <c r="AG54" s="763"/>
      <c r="AH54" s="763"/>
      <c r="AI54" s="763"/>
      <c r="AJ54" s="763"/>
      <c r="AK54" s="763"/>
      <c r="AL54" s="763"/>
      <c r="AM54" s="763"/>
      <c r="AN54" s="763"/>
      <c r="AO54" s="763"/>
      <c r="AP54" s="763"/>
      <c r="AQ54" s="763"/>
      <c r="AR54" s="763"/>
      <c r="AS54" s="763"/>
      <c r="AT54" s="763"/>
      <c r="AU54" s="763"/>
      <c r="AV54" s="763"/>
      <c r="AW54" s="763"/>
      <c r="AX54" s="763"/>
      <c r="AY54" s="763"/>
      <c r="AZ54" s="763"/>
      <c r="BA54" s="763"/>
      <c r="BB54" s="763"/>
      <c r="BC54" s="763"/>
      <c r="BD54" s="763"/>
      <c r="BE54" s="763"/>
      <c r="BF54" s="763"/>
      <c r="BG54" s="763"/>
      <c r="BH54" s="763"/>
      <c r="BI54" s="763"/>
      <c r="BJ54" s="763"/>
      <c r="BK54" s="763"/>
      <c r="BL54" s="763"/>
      <c r="BM54" s="763"/>
      <c r="BN54" s="763"/>
      <c r="BO54" s="763"/>
      <c r="BP54" s="763"/>
      <c r="BQ54" s="763"/>
      <c r="BR54" s="763"/>
      <c r="BS54" s="763"/>
      <c r="BT54" s="763"/>
      <c r="BU54" s="763"/>
    </row>
    <row r="55" spans="1:73" s="803" customFormat="1" ht="12.6" customHeight="1">
      <c r="A55" s="756"/>
      <c r="B55" s="778">
        <v>7</v>
      </c>
      <c r="C55" s="786"/>
      <c r="D55" s="787" t="s">
        <v>970</v>
      </c>
      <c r="E55" s="769"/>
      <c r="F55" s="769"/>
      <c r="G55" s="769"/>
      <c r="H55" s="799"/>
      <c r="I55" s="769"/>
      <c r="J55" s="788"/>
      <c r="K55" s="756"/>
      <c r="L55" s="804" t="s">
        <v>1046</v>
      </c>
      <c r="M55" s="760"/>
      <c r="N55" s="759"/>
      <c r="O55" s="759"/>
      <c r="P55" s="759"/>
      <c r="Q55" s="759"/>
      <c r="R55" s="769"/>
      <c r="S55" s="788"/>
      <c r="T55" s="756"/>
      <c r="U55" s="780"/>
      <c r="V55" s="773"/>
      <c r="W55" s="774"/>
      <c r="X55" s="756"/>
      <c r="Y55" s="775"/>
      <c r="Z55" s="802"/>
      <c r="AA55" s="802"/>
      <c r="AB55" s="802"/>
      <c r="AC55" s="802"/>
      <c r="AD55" s="802"/>
      <c r="AE55" s="802"/>
      <c r="AF55" s="802"/>
      <c r="AG55" s="802"/>
      <c r="AH55" s="802"/>
      <c r="AI55" s="802"/>
      <c r="AJ55" s="802"/>
      <c r="AK55" s="802"/>
      <c r="AL55" s="802"/>
      <c r="AM55" s="802"/>
      <c r="AN55" s="802"/>
      <c r="AO55" s="802"/>
      <c r="AP55" s="802"/>
      <c r="AQ55" s="802"/>
      <c r="AR55" s="802"/>
      <c r="AS55" s="802"/>
      <c r="AT55" s="802"/>
      <c r="AU55" s="802"/>
      <c r="AV55" s="802"/>
      <c r="AW55" s="802"/>
      <c r="AX55" s="802"/>
      <c r="AY55" s="802"/>
      <c r="AZ55" s="802"/>
      <c r="BA55" s="802"/>
      <c r="BB55" s="802"/>
      <c r="BC55" s="802"/>
      <c r="BD55" s="802"/>
      <c r="BE55" s="802"/>
      <c r="BF55" s="802"/>
      <c r="BG55" s="802"/>
      <c r="BH55" s="802"/>
      <c r="BI55" s="802"/>
      <c r="BJ55" s="802"/>
      <c r="BK55" s="802"/>
      <c r="BL55" s="802"/>
      <c r="BM55" s="802"/>
      <c r="BN55" s="802"/>
      <c r="BO55" s="802"/>
      <c r="BP55" s="802"/>
      <c r="BQ55" s="802"/>
      <c r="BR55" s="802"/>
      <c r="BS55" s="802"/>
      <c r="BT55" s="802"/>
      <c r="BU55" s="802"/>
    </row>
    <row r="56" spans="1:73" s="777" customFormat="1" ht="12.6" customHeight="1">
      <c r="A56" s="759"/>
      <c r="B56" s="789"/>
      <c r="C56" s="779"/>
      <c r="D56" s="761"/>
      <c r="E56" s="759"/>
      <c r="F56" s="759"/>
      <c r="G56" s="759"/>
      <c r="H56" s="760"/>
      <c r="I56" s="759"/>
      <c r="J56" s="758"/>
      <c r="K56" s="759"/>
      <c r="L56" s="761" t="s">
        <v>1047</v>
      </c>
      <c r="M56" s="760"/>
      <c r="N56" s="759"/>
      <c r="O56" s="759"/>
      <c r="P56" s="759"/>
      <c r="Q56" s="759"/>
      <c r="R56" s="759"/>
      <c r="S56" s="758"/>
      <c r="T56" s="759"/>
      <c r="U56" s="780"/>
      <c r="V56" s="773"/>
      <c r="W56" s="774"/>
      <c r="X56" s="759"/>
      <c r="Y56" s="775"/>
      <c r="Z56" s="776"/>
      <c r="AA56" s="776"/>
      <c r="AB56" s="776"/>
      <c r="AC56" s="776"/>
      <c r="AD56" s="776"/>
      <c r="AE56" s="776"/>
      <c r="AF56" s="776"/>
      <c r="AG56" s="776"/>
      <c r="AH56" s="776"/>
      <c r="AI56" s="776"/>
      <c r="AJ56" s="776"/>
      <c r="AK56" s="776"/>
      <c r="AL56" s="776"/>
      <c r="AM56" s="776"/>
      <c r="AN56" s="776"/>
      <c r="AO56" s="776"/>
      <c r="AP56" s="776"/>
      <c r="AQ56" s="776"/>
      <c r="AR56" s="776"/>
      <c r="AS56" s="776"/>
      <c r="AT56" s="776"/>
      <c r="AU56" s="776"/>
      <c r="AV56" s="776"/>
      <c r="AW56" s="776"/>
      <c r="AX56" s="776"/>
      <c r="AY56" s="776"/>
      <c r="AZ56" s="776"/>
      <c r="BA56" s="776"/>
      <c r="BB56" s="776"/>
      <c r="BC56" s="776"/>
      <c r="BD56" s="776"/>
      <c r="BE56" s="776"/>
      <c r="BF56" s="776"/>
      <c r="BG56" s="776"/>
      <c r="BH56" s="776"/>
      <c r="BI56" s="776"/>
      <c r="BJ56" s="776"/>
      <c r="BK56" s="776"/>
      <c r="BL56" s="776"/>
      <c r="BM56" s="776"/>
      <c r="BN56" s="776"/>
      <c r="BO56" s="776"/>
      <c r="BP56" s="776"/>
      <c r="BQ56" s="776"/>
      <c r="BR56" s="776"/>
      <c r="BS56" s="776"/>
      <c r="BT56" s="776"/>
      <c r="BU56" s="776"/>
    </row>
    <row r="57" spans="1:73" s="777" customFormat="1" ht="12.6" customHeight="1">
      <c r="A57" s="759"/>
      <c r="B57" s="789"/>
      <c r="C57" s="779"/>
      <c r="D57" s="761"/>
      <c r="E57" s="759"/>
      <c r="F57" s="759"/>
      <c r="G57" s="759"/>
      <c r="H57" s="760"/>
      <c r="I57" s="759"/>
      <c r="J57" s="758"/>
      <c r="K57" s="759"/>
      <c r="L57" s="807" t="s">
        <v>1048</v>
      </c>
      <c r="M57" s="808"/>
      <c r="N57" s="756"/>
      <c r="O57" s="796"/>
      <c r="P57" s="796"/>
      <c r="Q57" s="796"/>
      <c r="R57" s="759"/>
      <c r="S57" s="758"/>
      <c r="T57" s="759"/>
      <c r="U57" s="780"/>
      <c r="V57" s="773"/>
      <c r="W57" s="774"/>
      <c r="X57" s="759"/>
      <c r="Y57" s="775"/>
      <c r="Z57" s="776"/>
      <c r="AA57" s="776"/>
      <c r="AB57" s="776"/>
      <c r="AC57" s="776"/>
      <c r="AD57" s="776"/>
      <c r="AE57" s="776"/>
      <c r="AF57" s="776"/>
      <c r="AG57" s="776"/>
      <c r="AH57" s="776"/>
      <c r="AI57" s="776"/>
      <c r="AJ57" s="776"/>
      <c r="AK57" s="776"/>
      <c r="AL57" s="776"/>
      <c r="AM57" s="776"/>
      <c r="AN57" s="776"/>
      <c r="AO57" s="776"/>
      <c r="AP57" s="776"/>
      <c r="AQ57" s="776"/>
      <c r="AR57" s="776"/>
      <c r="AS57" s="776"/>
      <c r="AT57" s="776"/>
      <c r="AU57" s="776"/>
      <c r="AV57" s="776"/>
      <c r="AW57" s="776"/>
      <c r="AX57" s="776"/>
      <c r="AY57" s="776"/>
      <c r="AZ57" s="776"/>
      <c r="BA57" s="776"/>
      <c r="BB57" s="776"/>
      <c r="BC57" s="776"/>
      <c r="BD57" s="776"/>
      <c r="BE57" s="776"/>
      <c r="BF57" s="776"/>
      <c r="BG57" s="776"/>
      <c r="BH57" s="776"/>
      <c r="BI57" s="776"/>
      <c r="BJ57" s="776"/>
      <c r="BK57" s="776"/>
      <c r="BL57" s="776"/>
      <c r="BM57" s="776"/>
      <c r="BN57" s="776"/>
      <c r="BO57" s="776"/>
      <c r="BP57" s="776"/>
      <c r="BQ57" s="776"/>
      <c r="BR57" s="776"/>
      <c r="BS57" s="776"/>
      <c r="BT57" s="776"/>
      <c r="BU57" s="776"/>
    </row>
    <row r="58" spans="1:73" s="803" customFormat="1" ht="12.6" customHeight="1">
      <c r="A58" s="756"/>
      <c r="B58" s="809"/>
      <c r="C58" s="795"/>
      <c r="D58" s="807"/>
      <c r="E58" s="796"/>
      <c r="F58" s="756"/>
      <c r="G58" s="796"/>
      <c r="H58" s="808"/>
      <c r="I58" s="796"/>
      <c r="J58" s="798"/>
      <c r="K58" s="796"/>
      <c r="L58" s="761" t="s">
        <v>1049</v>
      </c>
      <c r="M58" s="760"/>
      <c r="N58" s="759"/>
      <c r="O58" s="759"/>
      <c r="P58" s="759"/>
      <c r="Q58" s="759"/>
      <c r="R58" s="756"/>
      <c r="S58" s="798"/>
      <c r="T58" s="796"/>
      <c r="U58" s="780"/>
      <c r="V58" s="773"/>
      <c r="W58" s="774"/>
      <c r="X58" s="756"/>
      <c r="Y58" s="775"/>
      <c r="Z58" s="802"/>
      <c r="AA58" s="802"/>
      <c r="AB58" s="802"/>
      <c r="AC58" s="802"/>
      <c r="AD58" s="802"/>
      <c r="AE58" s="802"/>
      <c r="AF58" s="802"/>
      <c r="AG58" s="802"/>
      <c r="AH58" s="802"/>
      <c r="AI58" s="802"/>
      <c r="AJ58" s="802"/>
      <c r="AK58" s="802"/>
      <c r="AL58" s="802"/>
      <c r="AM58" s="802"/>
      <c r="AN58" s="802"/>
      <c r="AO58" s="802"/>
      <c r="AP58" s="802"/>
      <c r="AQ58" s="802"/>
      <c r="AR58" s="802"/>
      <c r="AS58" s="802"/>
      <c r="AT58" s="802"/>
      <c r="AU58" s="802"/>
      <c r="AV58" s="802"/>
      <c r="AW58" s="802"/>
      <c r="AX58" s="802"/>
      <c r="AY58" s="802"/>
      <c r="AZ58" s="802"/>
      <c r="BA58" s="802"/>
      <c r="BB58" s="802"/>
      <c r="BC58" s="802"/>
      <c r="BD58" s="802"/>
      <c r="BE58" s="802"/>
      <c r="BF58" s="802"/>
      <c r="BG58" s="802"/>
      <c r="BH58" s="802"/>
      <c r="BI58" s="802"/>
      <c r="BJ58" s="802"/>
      <c r="BK58" s="802"/>
      <c r="BL58" s="802"/>
      <c r="BM58" s="802"/>
      <c r="BN58" s="802"/>
      <c r="BO58" s="802"/>
      <c r="BP58" s="802"/>
      <c r="BQ58" s="802"/>
      <c r="BR58" s="802"/>
      <c r="BS58" s="802"/>
      <c r="BT58" s="802"/>
      <c r="BU58" s="802"/>
    </row>
    <row r="59" spans="1:73" s="777" customFormat="1" ht="12.6" customHeight="1">
      <c r="A59" s="759"/>
      <c r="B59" s="789"/>
      <c r="C59" s="779"/>
      <c r="D59" s="761"/>
      <c r="E59" s="759"/>
      <c r="F59" s="759"/>
      <c r="G59" s="759"/>
      <c r="H59" s="760"/>
      <c r="I59" s="759"/>
      <c r="J59" s="758"/>
      <c r="K59" s="759"/>
      <c r="L59" s="761" t="s">
        <v>1050</v>
      </c>
      <c r="M59" s="759"/>
      <c r="N59" s="759"/>
      <c r="O59" s="759"/>
      <c r="P59" s="759"/>
      <c r="Q59" s="759"/>
      <c r="R59" s="759"/>
      <c r="S59" s="758"/>
      <c r="T59" s="759"/>
      <c r="U59" s="780"/>
      <c r="V59" s="773"/>
      <c r="W59" s="774"/>
      <c r="X59" s="759"/>
      <c r="Y59" s="775"/>
      <c r="Z59" s="776"/>
      <c r="AA59" s="776"/>
      <c r="AB59" s="776"/>
      <c r="AC59" s="776"/>
      <c r="AD59" s="776"/>
      <c r="AE59" s="776"/>
      <c r="AF59" s="776"/>
      <c r="AG59" s="776"/>
      <c r="AH59" s="776"/>
      <c r="AI59" s="776"/>
      <c r="AJ59" s="776"/>
      <c r="AK59" s="776"/>
      <c r="AL59" s="776"/>
      <c r="AM59" s="776"/>
      <c r="AN59" s="776"/>
      <c r="AO59" s="776"/>
      <c r="AP59" s="776"/>
      <c r="AQ59" s="776"/>
      <c r="AR59" s="776"/>
      <c r="AS59" s="776"/>
      <c r="AT59" s="776"/>
      <c r="AU59" s="776"/>
      <c r="AV59" s="776"/>
      <c r="AW59" s="776"/>
      <c r="AX59" s="776"/>
      <c r="AY59" s="776"/>
      <c r="AZ59" s="776"/>
      <c r="BA59" s="776"/>
      <c r="BB59" s="776"/>
      <c r="BC59" s="776"/>
      <c r="BD59" s="776"/>
      <c r="BE59" s="776"/>
      <c r="BF59" s="776"/>
      <c r="BG59" s="776"/>
      <c r="BH59" s="776"/>
      <c r="BI59" s="776"/>
      <c r="BJ59" s="776"/>
      <c r="BK59" s="776"/>
      <c r="BL59" s="776"/>
      <c r="BM59" s="776"/>
      <c r="BN59" s="776"/>
      <c r="BO59" s="776"/>
      <c r="BP59" s="776"/>
      <c r="BQ59" s="776"/>
      <c r="BR59" s="776"/>
      <c r="BS59" s="776"/>
      <c r="BT59" s="776"/>
      <c r="BU59" s="776"/>
    </row>
    <row r="60" spans="1:73" s="777" customFormat="1" ht="12.6" customHeight="1">
      <c r="A60" s="759"/>
      <c r="B60" s="789"/>
      <c r="C60" s="779"/>
      <c r="D60" s="761"/>
      <c r="E60" s="759"/>
      <c r="F60" s="759"/>
      <c r="G60" s="759"/>
      <c r="H60" s="759"/>
      <c r="I60" s="759"/>
      <c r="J60" s="758"/>
      <c r="K60" s="759"/>
      <c r="L60" s="761" t="s">
        <v>1045</v>
      </c>
      <c r="M60" s="759"/>
      <c r="N60" s="759"/>
      <c r="O60" s="759"/>
      <c r="P60" s="759"/>
      <c r="Q60" s="759"/>
      <c r="R60" s="759"/>
      <c r="S60" s="758"/>
      <c r="T60" s="759"/>
      <c r="U60" s="780"/>
      <c r="V60" s="773"/>
      <c r="W60" s="774"/>
      <c r="X60" s="703"/>
      <c r="Y60" s="775"/>
      <c r="Z60" s="776"/>
      <c r="AA60" s="776"/>
      <c r="AB60" s="776"/>
      <c r="AC60" s="776"/>
      <c r="AD60" s="776"/>
      <c r="AE60" s="776"/>
      <c r="AF60" s="776"/>
      <c r="AG60" s="776"/>
      <c r="AH60" s="776"/>
      <c r="AI60" s="776"/>
      <c r="AJ60" s="776"/>
      <c r="AK60" s="776"/>
      <c r="AL60" s="776"/>
      <c r="AM60" s="776"/>
      <c r="AN60" s="776"/>
      <c r="AO60" s="776"/>
      <c r="AP60" s="776"/>
      <c r="AQ60" s="776"/>
      <c r="AR60" s="776"/>
      <c r="AS60" s="776"/>
      <c r="AT60" s="776"/>
      <c r="AU60" s="776"/>
      <c r="AV60" s="776"/>
      <c r="AW60" s="776"/>
      <c r="AX60" s="776"/>
      <c r="AY60" s="776"/>
      <c r="AZ60" s="776"/>
      <c r="BA60" s="776"/>
      <c r="BB60" s="776"/>
      <c r="BC60" s="776"/>
      <c r="BD60" s="776"/>
      <c r="BE60" s="776"/>
      <c r="BF60" s="776"/>
      <c r="BG60" s="776"/>
      <c r="BH60" s="776"/>
      <c r="BI60" s="776"/>
      <c r="BJ60" s="776"/>
      <c r="BK60" s="776"/>
      <c r="BL60" s="776"/>
      <c r="BM60" s="776"/>
      <c r="BN60" s="776"/>
      <c r="BO60" s="776"/>
      <c r="BP60" s="776"/>
      <c r="BQ60" s="776"/>
      <c r="BR60" s="776"/>
      <c r="BS60" s="776"/>
      <c r="BT60" s="776"/>
      <c r="BU60" s="776"/>
    </row>
    <row r="61" spans="1:73" s="777" customFormat="1" ht="12.6" customHeight="1">
      <c r="A61" s="759"/>
      <c r="B61" s="789"/>
      <c r="C61" s="779"/>
      <c r="D61" s="761"/>
      <c r="E61" s="759"/>
      <c r="F61" s="759"/>
      <c r="G61" s="759"/>
      <c r="H61" s="759"/>
      <c r="I61" s="759"/>
      <c r="J61" s="758"/>
      <c r="K61" s="759"/>
      <c r="L61" s="761" t="str">
        <f>UPPER([2]Orçamento!D249)</f>
        <v/>
      </c>
      <c r="M61" s="759"/>
      <c r="N61" s="759"/>
      <c r="O61" s="759"/>
      <c r="P61" s="759"/>
      <c r="Q61" s="759"/>
      <c r="R61" s="759"/>
      <c r="S61" s="758"/>
      <c r="T61" s="759"/>
      <c r="U61" s="780"/>
      <c r="V61" s="773"/>
      <c r="W61" s="774"/>
      <c r="X61" s="703"/>
      <c r="Y61" s="775"/>
      <c r="Z61" s="776"/>
      <c r="AA61" s="776"/>
      <c r="AB61" s="776"/>
      <c r="AC61" s="776"/>
      <c r="AD61" s="776"/>
      <c r="AE61" s="776"/>
      <c r="AF61" s="776"/>
      <c r="AG61" s="776"/>
      <c r="AH61" s="776"/>
      <c r="AI61" s="776"/>
      <c r="AJ61" s="776"/>
      <c r="AK61" s="776"/>
      <c r="AL61" s="776"/>
      <c r="AM61" s="776"/>
      <c r="AN61" s="776"/>
      <c r="AO61" s="776"/>
      <c r="AP61" s="776"/>
      <c r="AQ61" s="776"/>
      <c r="AR61" s="776"/>
      <c r="AS61" s="776"/>
      <c r="AT61" s="776"/>
      <c r="AU61" s="776"/>
      <c r="AV61" s="776"/>
      <c r="AW61" s="776"/>
      <c r="AX61" s="776"/>
      <c r="AY61" s="776"/>
      <c r="AZ61" s="776"/>
      <c r="BA61" s="776"/>
      <c r="BB61" s="776"/>
      <c r="BC61" s="776"/>
      <c r="BD61" s="776"/>
      <c r="BE61" s="776"/>
      <c r="BF61" s="776"/>
      <c r="BG61" s="776"/>
      <c r="BH61" s="776"/>
      <c r="BI61" s="776"/>
      <c r="BJ61" s="776"/>
      <c r="BK61" s="776"/>
      <c r="BL61" s="776"/>
      <c r="BM61" s="776"/>
      <c r="BN61" s="776"/>
      <c r="BO61" s="776"/>
      <c r="BP61" s="776"/>
      <c r="BQ61" s="776"/>
      <c r="BR61" s="776"/>
      <c r="BS61" s="776"/>
      <c r="BT61" s="776"/>
      <c r="BU61" s="776"/>
    </row>
    <row r="62" spans="1:73" s="803" customFormat="1" ht="12.6" customHeight="1">
      <c r="A62" s="756"/>
      <c r="B62" s="778">
        <v>8</v>
      </c>
      <c r="C62" s="786"/>
      <c r="D62" s="787" t="s">
        <v>1051</v>
      </c>
      <c r="E62" s="769"/>
      <c r="F62" s="769"/>
      <c r="G62" s="769"/>
      <c r="H62" s="769"/>
      <c r="I62" s="769"/>
      <c r="J62" s="788"/>
      <c r="K62" s="756"/>
      <c r="L62" s="787" t="s">
        <v>1052</v>
      </c>
      <c r="M62" s="769"/>
      <c r="N62" s="769"/>
      <c r="O62" s="769"/>
      <c r="P62" s="769"/>
      <c r="Q62" s="769"/>
      <c r="R62" s="769"/>
      <c r="S62" s="788"/>
      <c r="T62" s="756"/>
      <c r="U62" s="780"/>
      <c r="V62" s="773"/>
      <c r="W62" s="774"/>
      <c r="X62" s="756"/>
      <c r="Y62" s="775"/>
      <c r="Z62" s="802"/>
      <c r="AA62" s="802"/>
      <c r="AB62" s="802"/>
      <c r="AC62" s="802"/>
      <c r="AD62" s="802"/>
      <c r="AE62" s="802"/>
      <c r="AF62" s="802"/>
      <c r="AG62" s="802"/>
      <c r="AH62" s="802"/>
      <c r="AI62" s="802"/>
      <c r="AJ62" s="802"/>
      <c r="AK62" s="802"/>
      <c r="AL62" s="802"/>
      <c r="AM62" s="802"/>
      <c r="AN62" s="802"/>
      <c r="AO62" s="802"/>
      <c r="AP62" s="802"/>
      <c r="AQ62" s="802"/>
      <c r="AR62" s="802"/>
      <c r="AS62" s="802"/>
      <c r="AT62" s="802"/>
      <c r="AU62" s="802"/>
      <c r="AV62" s="802"/>
      <c r="AW62" s="802"/>
      <c r="AX62" s="802"/>
      <c r="AY62" s="802"/>
      <c r="AZ62" s="802"/>
      <c r="BA62" s="802"/>
      <c r="BB62" s="802"/>
      <c r="BC62" s="802"/>
      <c r="BD62" s="802"/>
      <c r="BE62" s="802"/>
      <c r="BF62" s="802"/>
      <c r="BG62" s="802"/>
      <c r="BH62" s="802"/>
      <c r="BI62" s="802"/>
      <c r="BJ62" s="802"/>
      <c r="BK62" s="802"/>
      <c r="BL62" s="802"/>
      <c r="BM62" s="802"/>
      <c r="BN62" s="802"/>
      <c r="BO62" s="802"/>
      <c r="BP62" s="802"/>
      <c r="BQ62" s="802"/>
      <c r="BR62" s="802"/>
      <c r="BS62" s="802"/>
      <c r="BT62" s="802"/>
      <c r="BU62" s="802"/>
    </row>
    <row r="63" spans="1:73" s="777" customFormat="1" ht="12.6" customHeight="1">
      <c r="A63" s="759"/>
      <c r="B63" s="789"/>
      <c r="C63" s="779"/>
      <c r="D63" s="761"/>
      <c r="E63" s="759"/>
      <c r="F63" s="759"/>
      <c r="G63" s="756"/>
      <c r="H63" s="759"/>
      <c r="I63" s="759"/>
      <c r="J63" s="758"/>
      <c r="K63" s="759"/>
      <c r="L63" s="761" t="s">
        <v>1053</v>
      </c>
      <c r="M63" s="759"/>
      <c r="N63" s="759"/>
      <c r="O63" s="759"/>
      <c r="P63" s="759"/>
      <c r="Q63" s="759"/>
      <c r="R63" s="759"/>
      <c r="S63" s="758"/>
      <c r="T63" s="759"/>
      <c r="U63" s="780"/>
      <c r="V63" s="773"/>
      <c r="W63" s="774"/>
      <c r="X63" s="759"/>
      <c r="Y63" s="775"/>
      <c r="Z63" s="776"/>
      <c r="AA63" s="776"/>
      <c r="AB63" s="776"/>
      <c r="AC63" s="776"/>
      <c r="AD63" s="776"/>
      <c r="AE63" s="776"/>
      <c r="AF63" s="776"/>
      <c r="AG63" s="776"/>
      <c r="AH63" s="776"/>
      <c r="AI63" s="776"/>
      <c r="AJ63" s="776"/>
      <c r="AK63" s="776"/>
      <c r="AL63" s="776"/>
      <c r="AM63" s="776"/>
      <c r="AN63" s="776"/>
      <c r="AO63" s="776"/>
      <c r="AP63" s="776"/>
      <c r="AQ63" s="776"/>
      <c r="AR63" s="776"/>
      <c r="AS63" s="776"/>
      <c r="AT63" s="776"/>
      <c r="AU63" s="776"/>
      <c r="AV63" s="776"/>
      <c r="AW63" s="776"/>
      <c r="AX63" s="776"/>
      <c r="AY63" s="776"/>
      <c r="AZ63" s="776"/>
      <c r="BA63" s="776"/>
      <c r="BB63" s="776"/>
      <c r="BC63" s="776"/>
      <c r="BD63" s="776"/>
      <c r="BE63" s="776"/>
      <c r="BF63" s="776"/>
      <c r="BG63" s="776"/>
      <c r="BH63" s="776"/>
      <c r="BI63" s="776"/>
      <c r="BJ63" s="776"/>
      <c r="BK63" s="776"/>
      <c r="BL63" s="776"/>
      <c r="BM63" s="776"/>
      <c r="BN63" s="776"/>
      <c r="BO63" s="776"/>
      <c r="BP63" s="776"/>
      <c r="BQ63" s="776"/>
      <c r="BR63" s="776"/>
      <c r="BS63" s="776"/>
      <c r="BT63" s="776"/>
      <c r="BU63" s="776"/>
    </row>
    <row r="64" spans="1:73" s="803" customFormat="1" ht="12.6" customHeight="1">
      <c r="A64" s="756"/>
      <c r="B64" s="778"/>
      <c r="C64" s="786"/>
      <c r="D64" s="757"/>
      <c r="E64" s="756"/>
      <c r="F64" s="756"/>
      <c r="G64" s="756"/>
      <c r="H64" s="756"/>
      <c r="I64" s="756"/>
      <c r="J64" s="805"/>
      <c r="K64" s="756"/>
      <c r="L64" s="757" t="s">
        <v>1054</v>
      </c>
      <c r="M64" s="756"/>
      <c r="N64" s="756"/>
      <c r="O64" s="756"/>
      <c r="P64" s="756"/>
      <c r="Q64" s="756"/>
      <c r="R64" s="756"/>
      <c r="S64" s="805"/>
      <c r="T64" s="756"/>
      <c r="U64" s="780"/>
      <c r="V64" s="773"/>
      <c r="W64" s="774"/>
      <c r="X64" s="756"/>
      <c r="Y64" s="775"/>
      <c r="Z64" s="802"/>
      <c r="AA64" s="802"/>
      <c r="AB64" s="802"/>
      <c r="AC64" s="802"/>
      <c r="AD64" s="802"/>
      <c r="AE64" s="802"/>
      <c r="AF64" s="802"/>
      <c r="AG64" s="802"/>
      <c r="AH64" s="802"/>
      <c r="AI64" s="802"/>
      <c r="AJ64" s="802"/>
      <c r="AK64" s="802"/>
      <c r="AL64" s="802"/>
      <c r="AM64" s="802"/>
      <c r="AN64" s="802"/>
      <c r="AO64" s="802"/>
      <c r="AP64" s="802"/>
      <c r="AQ64" s="802"/>
      <c r="AR64" s="802"/>
      <c r="AS64" s="802"/>
      <c r="AT64" s="802"/>
      <c r="AU64" s="802"/>
      <c r="AV64" s="802"/>
      <c r="AW64" s="802"/>
      <c r="AX64" s="802"/>
      <c r="AY64" s="802"/>
      <c r="AZ64" s="802"/>
      <c r="BA64" s="802"/>
      <c r="BB64" s="802"/>
      <c r="BC64" s="802"/>
      <c r="BD64" s="802"/>
      <c r="BE64" s="802"/>
      <c r="BF64" s="802"/>
      <c r="BG64" s="802"/>
      <c r="BH64" s="802"/>
      <c r="BI64" s="802"/>
      <c r="BJ64" s="802"/>
      <c r="BK64" s="802"/>
      <c r="BL64" s="802"/>
      <c r="BM64" s="802"/>
      <c r="BN64" s="802"/>
      <c r="BO64" s="802"/>
      <c r="BP64" s="802"/>
      <c r="BQ64" s="802"/>
      <c r="BR64" s="802"/>
      <c r="BS64" s="802"/>
      <c r="BT64" s="802"/>
      <c r="BU64" s="802"/>
    </row>
    <row r="65" spans="1:73" s="803" customFormat="1" ht="12.6" customHeight="1">
      <c r="A65" s="756"/>
      <c r="B65" s="789"/>
      <c r="C65" s="786"/>
      <c r="D65" s="810"/>
      <c r="E65" s="756"/>
      <c r="F65" s="756"/>
      <c r="G65" s="756"/>
      <c r="H65" s="759"/>
      <c r="I65" s="756"/>
      <c r="J65" s="805"/>
      <c r="K65" s="756"/>
      <c r="L65" s="757" t="s">
        <v>1055</v>
      </c>
      <c r="M65" s="759"/>
      <c r="N65" s="756"/>
      <c r="O65" s="756"/>
      <c r="P65" s="756"/>
      <c r="Q65" s="756"/>
      <c r="R65" s="756"/>
      <c r="S65" s="805"/>
      <c r="T65" s="756"/>
      <c r="U65" s="780"/>
      <c r="V65" s="773"/>
      <c r="W65" s="774"/>
      <c r="X65" s="756"/>
      <c r="Y65" s="775"/>
      <c r="Z65" s="802"/>
      <c r="AA65" s="802"/>
      <c r="AB65" s="802"/>
      <c r="AC65" s="802"/>
      <c r="AD65" s="802"/>
      <c r="AE65" s="802"/>
      <c r="AF65" s="802"/>
      <c r="AG65" s="802"/>
      <c r="AH65" s="802"/>
      <c r="AI65" s="802"/>
      <c r="AJ65" s="802"/>
      <c r="AK65" s="802"/>
      <c r="AL65" s="802"/>
      <c r="AM65" s="802"/>
      <c r="AN65" s="802"/>
      <c r="AO65" s="802"/>
      <c r="AP65" s="802"/>
      <c r="AQ65" s="802"/>
      <c r="AR65" s="802"/>
      <c r="AS65" s="802"/>
      <c r="AT65" s="802"/>
      <c r="AU65" s="802"/>
      <c r="AV65" s="802"/>
      <c r="AW65" s="802"/>
      <c r="AX65" s="802"/>
      <c r="AY65" s="802"/>
      <c r="AZ65" s="802"/>
      <c r="BA65" s="802"/>
      <c r="BB65" s="802"/>
      <c r="BC65" s="802"/>
      <c r="BD65" s="802"/>
      <c r="BE65" s="802"/>
      <c r="BF65" s="802"/>
      <c r="BG65" s="802"/>
      <c r="BH65" s="802"/>
      <c r="BI65" s="802"/>
      <c r="BJ65" s="802"/>
      <c r="BK65" s="802"/>
      <c r="BL65" s="802"/>
      <c r="BM65" s="802"/>
      <c r="BN65" s="802"/>
      <c r="BO65" s="802"/>
      <c r="BP65" s="802"/>
      <c r="BQ65" s="802"/>
      <c r="BR65" s="802"/>
      <c r="BS65" s="802"/>
      <c r="BT65" s="802"/>
      <c r="BU65" s="802"/>
    </row>
    <row r="66" spans="1:73" s="777" customFormat="1" ht="12.6" customHeight="1">
      <c r="A66" s="759"/>
      <c r="B66" s="809"/>
      <c r="C66" s="779"/>
      <c r="D66" s="761"/>
      <c r="E66" s="759"/>
      <c r="F66" s="759"/>
      <c r="G66" s="811"/>
      <c r="H66" s="796"/>
      <c r="I66" s="756"/>
      <c r="J66" s="758"/>
      <c r="K66" s="759"/>
      <c r="L66" s="761" t="s">
        <v>1056</v>
      </c>
      <c r="M66" s="796"/>
      <c r="N66" s="759"/>
      <c r="O66" s="756"/>
      <c r="P66" s="756"/>
      <c r="Q66" s="759"/>
      <c r="R66" s="759"/>
      <c r="S66" s="758"/>
      <c r="T66" s="759"/>
      <c r="U66" s="780"/>
      <c r="V66" s="773"/>
      <c r="W66" s="774"/>
      <c r="X66" s="756"/>
      <c r="Y66" s="775"/>
      <c r="Z66" s="776"/>
      <c r="AA66" s="776"/>
      <c r="AB66" s="776"/>
      <c r="AC66" s="776"/>
      <c r="AD66" s="776"/>
      <c r="AE66" s="776"/>
      <c r="AF66" s="776"/>
      <c r="AG66" s="776"/>
      <c r="AH66" s="776"/>
      <c r="AI66" s="776"/>
      <c r="AJ66" s="776"/>
      <c r="AK66" s="776"/>
      <c r="AL66" s="776"/>
      <c r="AM66" s="776"/>
      <c r="AN66" s="776"/>
      <c r="AO66" s="776"/>
      <c r="AP66" s="776"/>
      <c r="AQ66" s="776"/>
      <c r="AR66" s="776"/>
      <c r="AS66" s="776"/>
      <c r="AT66" s="776"/>
      <c r="AU66" s="776"/>
      <c r="AV66" s="776"/>
      <c r="AW66" s="776"/>
      <c r="AX66" s="776"/>
      <c r="AY66" s="776"/>
      <c r="AZ66" s="776"/>
      <c r="BA66" s="776"/>
      <c r="BB66" s="776"/>
      <c r="BC66" s="776"/>
      <c r="BD66" s="776"/>
      <c r="BE66" s="776"/>
      <c r="BF66" s="776"/>
      <c r="BG66" s="776"/>
      <c r="BH66" s="776"/>
      <c r="BI66" s="776"/>
      <c r="BJ66" s="776"/>
      <c r="BK66" s="776"/>
      <c r="BL66" s="776"/>
      <c r="BM66" s="776"/>
      <c r="BN66" s="776"/>
      <c r="BO66" s="776"/>
      <c r="BP66" s="776"/>
      <c r="BQ66" s="776"/>
      <c r="BR66" s="776"/>
      <c r="BS66" s="776"/>
      <c r="BT66" s="776"/>
      <c r="BU66" s="776"/>
    </row>
    <row r="67" spans="1:73" s="777" customFormat="1" ht="12.6" customHeight="1">
      <c r="A67" s="759"/>
      <c r="B67" s="789">
        <v>9</v>
      </c>
      <c r="C67" s="779"/>
      <c r="D67" s="804" t="s">
        <v>994</v>
      </c>
      <c r="E67" s="768"/>
      <c r="F67" s="768"/>
      <c r="G67" s="768"/>
      <c r="H67" s="768"/>
      <c r="I67" s="769"/>
      <c r="J67" s="771"/>
      <c r="K67" s="759"/>
      <c r="L67" s="804" t="s">
        <v>1057</v>
      </c>
      <c r="M67" s="768"/>
      <c r="N67" s="768"/>
      <c r="O67" s="769"/>
      <c r="P67" s="768"/>
      <c r="Q67" s="768"/>
      <c r="R67" s="768"/>
      <c r="S67" s="788"/>
      <c r="T67" s="759"/>
      <c r="U67" s="780"/>
      <c r="V67" s="773"/>
      <c r="W67" s="774"/>
      <c r="X67" s="756"/>
      <c r="Y67" s="775"/>
      <c r="Z67" s="776"/>
      <c r="AA67" s="776"/>
      <c r="AB67" s="776"/>
      <c r="AC67" s="776"/>
      <c r="AD67" s="776"/>
      <c r="AE67" s="776"/>
      <c r="AF67" s="776"/>
      <c r="AG67" s="776"/>
      <c r="AH67" s="776"/>
      <c r="AI67" s="776"/>
      <c r="AJ67" s="776"/>
      <c r="AK67" s="776"/>
      <c r="AL67" s="776"/>
      <c r="AM67" s="776"/>
      <c r="AN67" s="776"/>
      <c r="AO67" s="776"/>
      <c r="AP67" s="776"/>
      <c r="AQ67" s="776"/>
      <c r="AR67" s="776"/>
      <c r="AS67" s="776"/>
      <c r="AT67" s="776"/>
      <c r="AU67" s="776"/>
      <c r="AV67" s="776"/>
      <c r="AW67" s="776"/>
      <c r="AX67" s="776"/>
      <c r="AY67" s="776"/>
      <c r="AZ67" s="776"/>
      <c r="BA67" s="776"/>
      <c r="BB67" s="776"/>
      <c r="BC67" s="776"/>
      <c r="BD67" s="776"/>
      <c r="BE67" s="776"/>
      <c r="BF67" s="776"/>
      <c r="BG67" s="776"/>
      <c r="BH67" s="776"/>
      <c r="BI67" s="776"/>
      <c r="BJ67" s="776"/>
      <c r="BK67" s="776"/>
      <c r="BL67" s="776"/>
      <c r="BM67" s="776"/>
      <c r="BN67" s="776"/>
      <c r="BO67" s="776"/>
      <c r="BP67" s="776"/>
      <c r="BQ67" s="776"/>
      <c r="BR67" s="776"/>
      <c r="BS67" s="776"/>
      <c r="BT67" s="776"/>
      <c r="BU67" s="776"/>
    </row>
    <row r="68" spans="1:73" s="803" customFormat="1" ht="12.6" customHeight="1">
      <c r="A68" s="756"/>
      <c r="B68" s="789"/>
      <c r="C68" s="786"/>
      <c r="D68" s="757"/>
      <c r="E68" s="756"/>
      <c r="F68" s="756"/>
      <c r="G68" s="756"/>
      <c r="H68" s="756"/>
      <c r="I68" s="756"/>
      <c r="J68" s="805"/>
      <c r="K68" s="756"/>
      <c r="L68" s="757" t="s">
        <v>1058</v>
      </c>
      <c r="M68" s="756"/>
      <c r="N68" s="756"/>
      <c r="O68" s="756"/>
      <c r="P68" s="756"/>
      <c r="Q68" s="756"/>
      <c r="R68" s="756"/>
      <c r="S68" s="758"/>
      <c r="T68" s="756"/>
      <c r="U68" s="780"/>
      <c r="V68" s="773"/>
      <c r="W68" s="774"/>
      <c r="X68" s="756"/>
      <c r="Y68" s="775"/>
      <c r="Z68" s="802"/>
      <c r="AA68" s="802"/>
      <c r="AB68" s="802"/>
      <c r="AC68" s="802"/>
      <c r="AD68" s="802"/>
      <c r="AE68" s="802"/>
      <c r="AF68" s="802"/>
      <c r="AG68" s="802"/>
      <c r="AH68" s="802"/>
      <c r="AI68" s="802"/>
      <c r="AJ68" s="802"/>
      <c r="AK68" s="802"/>
      <c r="AL68" s="802"/>
      <c r="AM68" s="802"/>
      <c r="AN68" s="802"/>
      <c r="AO68" s="802"/>
      <c r="AP68" s="802"/>
      <c r="AQ68" s="802"/>
      <c r="AR68" s="802"/>
      <c r="AS68" s="802"/>
      <c r="AT68" s="802"/>
      <c r="AU68" s="802"/>
      <c r="AV68" s="802"/>
      <c r="AW68" s="802"/>
      <c r="AX68" s="802"/>
      <c r="AY68" s="802"/>
      <c r="AZ68" s="802"/>
      <c r="BA68" s="802"/>
      <c r="BB68" s="802"/>
      <c r="BC68" s="802"/>
      <c r="BD68" s="802"/>
      <c r="BE68" s="802"/>
      <c r="BF68" s="802"/>
      <c r="BG68" s="802"/>
      <c r="BH68" s="802"/>
      <c r="BI68" s="802"/>
      <c r="BJ68" s="802"/>
      <c r="BK68" s="802"/>
      <c r="BL68" s="802"/>
      <c r="BM68" s="802"/>
      <c r="BN68" s="802"/>
      <c r="BO68" s="802"/>
      <c r="BP68" s="802"/>
      <c r="BQ68" s="802"/>
      <c r="BR68" s="802"/>
      <c r="BS68" s="802"/>
      <c r="BT68" s="802"/>
      <c r="BU68" s="802"/>
    </row>
    <row r="69" spans="1:73" s="777" customFormat="1" ht="12.6" customHeight="1">
      <c r="A69" s="759"/>
      <c r="B69" s="812"/>
      <c r="C69" s="813"/>
      <c r="D69" s="781"/>
      <c r="E69" s="783"/>
      <c r="F69" s="782"/>
      <c r="G69" s="794"/>
      <c r="H69" s="782"/>
      <c r="I69" s="783"/>
      <c r="J69" s="806"/>
      <c r="K69" s="756"/>
      <c r="L69" s="781" t="s">
        <v>1059</v>
      </c>
      <c r="M69" s="782"/>
      <c r="N69" s="782"/>
      <c r="O69" s="783"/>
      <c r="P69" s="782"/>
      <c r="Q69" s="782"/>
      <c r="R69" s="782"/>
      <c r="S69" s="806"/>
      <c r="T69" s="759"/>
      <c r="U69" s="780"/>
      <c r="V69" s="773"/>
      <c r="W69" s="774"/>
      <c r="X69" s="756"/>
      <c r="Y69" s="775"/>
      <c r="Z69" s="776"/>
      <c r="AA69" s="776"/>
      <c r="AB69" s="776"/>
      <c r="AC69" s="776"/>
      <c r="AD69" s="776"/>
      <c r="AE69" s="776"/>
      <c r="AF69" s="776"/>
      <c r="AG69" s="776"/>
      <c r="AH69" s="776"/>
      <c r="AI69" s="776"/>
      <c r="AJ69" s="776"/>
      <c r="AK69" s="776"/>
      <c r="AL69" s="776"/>
      <c r="AM69" s="776"/>
      <c r="AN69" s="776"/>
      <c r="AO69" s="776"/>
      <c r="AP69" s="776"/>
      <c r="AQ69" s="776"/>
      <c r="AR69" s="776"/>
      <c r="AS69" s="776"/>
      <c r="AT69" s="776"/>
      <c r="AU69" s="776"/>
      <c r="AV69" s="776"/>
      <c r="AW69" s="776"/>
      <c r="AX69" s="776"/>
      <c r="AY69" s="776"/>
      <c r="AZ69" s="776"/>
      <c r="BA69" s="776"/>
      <c r="BB69" s="776"/>
      <c r="BC69" s="776"/>
      <c r="BD69" s="776"/>
      <c r="BE69" s="776"/>
      <c r="BF69" s="776"/>
      <c r="BG69" s="776"/>
      <c r="BH69" s="776"/>
      <c r="BI69" s="776"/>
      <c r="BJ69" s="776"/>
      <c r="BK69" s="776"/>
      <c r="BL69" s="776"/>
      <c r="BM69" s="776"/>
      <c r="BN69" s="776"/>
      <c r="BO69" s="776"/>
      <c r="BP69" s="776"/>
      <c r="BQ69" s="776"/>
      <c r="BR69" s="776"/>
      <c r="BS69" s="776"/>
      <c r="BT69" s="776"/>
      <c r="BU69" s="776"/>
    </row>
    <row r="70" spans="1:73" s="777" customFormat="1" ht="11.45" customHeight="1">
      <c r="A70" s="759"/>
      <c r="B70" s="756"/>
      <c r="C70" s="759"/>
      <c r="D70" s="759"/>
      <c r="E70" s="811"/>
      <c r="F70" s="759"/>
      <c r="G70" s="759"/>
      <c r="H70" s="759"/>
      <c r="I70" s="756"/>
      <c r="J70" s="759"/>
      <c r="K70" s="759"/>
      <c r="L70" s="760" t="s">
        <v>903</v>
      </c>
      <c r="M70" s="759"/>
      <c r="N70" s="759"/>
      <c r="O70" s="756"/>
      <c r="P70" s="759"/>
      <c r="Q70" s="759"/>
      <c r="R70" s="759"/>
      <c r="S70" s="756"/>
      <c r="T70" s="759"/>
      <c r="U70" s="780"/>
      <c r="V70" s="814">
        <f>SUM(V38:V69)</f>
        <v>0</v>
      </c>
      <c r="W70" s="774"/>
      <c r="X70" s="756"/>
      <c r="Y70" s="815">
        <f>SUM(Y38:Y69)</f>
        <v>0</v>
      </c>
      <c r="Z70" s="776"/>
      <c r="AA70" s="776"/>
      <c r="AB70" s="776"/>
      <c r="AC70" s="776"/>
      <c r="AD70" s="776"/>
      <c r="AE70" s="776"/>
      <c r="AF70" s="776"/>
      <c r="AG70" s="776"/>
      <c r="AH70" s="776"/>
      <c r="AI70" s="776"/>
      <c r="AJ70" s="776"/>
      <c r="AK70" s="776"/>
      <c r="AL70" s="776"/>
      <c r="AM70" s="776"/>
      <c r="AN70" s="776"/>
      <c r="AO70" s="776"/>
      <c r="AP70" s="776"/>
      <c r="AQ70" s="776"/>
      <c r="AR70" s="776"/>
      <c r="AS70" s="776"/>
      <c r="AT70" s="776"/>
      <c r="AU70" s="776"/>
      <c r="AV70" s="776"/>
      <c r="AW70" s="776"/>
      <c r="AX70" s="776"/>
      <c r="AY70" s="776"/>
      <c r="AZ70" s="776"/>
      <c r="BA70" s="776"/>
      <c r="BB70" s="776"/>
      <c r="BC70" s="776"/>
      <c r="BD70" s="776"/>
      <c r="BE70" s="776"/>
      <c r="BF70" s="776"/>
      <c r="BG70" s="776"/>
      <c r="BH70" s="776"/>
      <c r="BI70" s="776"/>
      <c r="BJ70" s="776"/>
      <c r="BK70" s="776"/>
      <c r="BL70" s="776"/>
      <c r="BM70" s="776"/>
      <c r="BN70" s="776"/>
      <c r="BO70" s="776"/>
      <c r="BP70" s="776"/>
      <c r="BQ70" s="776"/>
      <c r="BR70" s="776"/>
      <c r="BS70" s="776"/>
      <c r="BT70" s="776"/>
      <c r="BU70" s="776"/>
    </row>
    <row r="71" spans="1:73" s="818" customFormat="1" ht="6.75" customHeight="1">
      <c r="A71" s="816"/>
      <c r="B71" s="816"/>
      <c r="C71" s="816"/>
      <c r="D71" s="816"/>
      <c r="E71" s="816"/>
      <c r="F71" s="816"/>
      <c r="G71" s="816"/>
      <c r="H71" s="816"/>
      <c r="I71" s="816"/>
      <c r="J71" s="816"/>
      <c r="K71" s="816"/>
      <c r="L71" s="816"/>
      <c r="M71" s="816"/>
      <c r="N71" s="816"/>
      <c r="O71" s="816"/>
      <c r="P71" s="816"/>
      <c r="Q71" s="816"/>
      <c r="R71" s="816"/>
      <c r="S71" s="816"/>
      <c r="T71" s="816"/>
      <c r="U71" s="816"/>
      <c r="V71" s="816"/>
      <c r="W71" s="816"/>
      <c r="X71" s="816"/>
      <c r="Y71" s="816"/>
      <c r="Z71" s="817"/>
      <c r="AA71" s="817"/>
      <c r="AB71" s="817"/>
      <c r="AC71" s="817"/>
      <c r="AD71" s="817"/>
      <c r="AE71" s="817"/>
      <c r="AF71" s="817"/>
      <c r="AG71" s="817"/>
      <c r="AH71" s="817"/>
      <c r="AI71" s="817"/>
      <c r="AJ71" s="817"/>
      <c r="AK71" s="817"/>
      <c r="AL71" s="817"/>
      <c r="AM71" s="817"/>
      <c r="AN71" s="817"/>
      <c r="AO71" s="817"/>
      <c r="AP71" s="817"/>
      <c r="AQ71" s="817"/>
      <c r="AR71" s="817"/>
      <c r="AS71" s="817"/>
      <c r="AT71" s="817"/>
      <c r="AU71" s="817"/>
      <c r="AV71" s="817"/>
      <c r="AW71" s="817"/>
      <c r="AX71" s="817"/>
      <c r="AY71" s="817"/>
      <c r="AZ71" s="817"/>
      <c r="BA71" s="817"/>
      <c r="BB71" s="817"/>
      <c r="BC71" s="817"/>
      <c r="BD71" s="817"/>
      <c r="BE71" s="817"/>
      <c r="BF71" s="817"/>
      <c r="BG71" s="817"/>
      <c r="BH71" s="817"/>
      <c r="BI71" s="817"/>
      <c r="BJ71" s="817"/>
      <c r="BK71" s="817"/>
      <c r="BL71" s="817"/>
      <c r="BM71" s="817"/>
      <c r="BN71" s="817"/>
      <c r="BO71" s="817"/>
      <c r="BP71" s="817"/>
      <c r="BQ71" s="817"/>
      <c r="BR71" s="817"/>
      <c r="BS71" s="817"/>
      <c r="BT71" s="817"/>
      <c r="BU71" s="817"/>
    </row>
    <row r="72" spans="1:73" s="818" customFormat="1" ht="5.25" customHeight="1">
      <c r="A72" s="816"/>
      <c r="B72" s="819"/>
      <c r="C72" s="819"/>
      <c r="D72" s="819"/>
      <c r="E72" s="819"/>
      <c r="F72" s="819"/>
      <c r="G72" s="819"/>
      <c r="H72" s="819"/>
      <c r="I72" s="819"/>
      <c r="J72" s="819"/>
      <c r="K72" s="819"/>
      <c r="L72" s="819"/>
      <c r="M72" s="819"/>
      <c r="N72" s="819"/>
      <c r="O72" s="819"/>
      <c r="P72" s="819"/>
      <c r="Q72" s="819"/>
      <c r="R72" s="819"/>
      <c r="S72" s="819"/>
      <c r="T72" s="819"/>
      <c r="U72" s="819"/>
      <c r="V72" s="819"/>
      <c r="W72" s="819"/>
      <c r="X72" s="819"/>
      <c r="Y72" s="819"/>
      <c r="Z72" s="817"/>
      <c r="AA72" s="817"/>
      <c r="AB72" s="817"/>
      <c r="AC72" s="817"/>
      <c r="AD72" s="817"/>
      <c r="AE72" s="817"/>
      <c r="AF72" s="817"/>
      <c r="AG72" s="817"/>
      <c r="AH72" s="817"/>
      <c r="AI72" s="817"/>
      <c r="AJ72" s="817"/>
      <c r="AK72" s="817"/>
      <c r="AL72" s="817"/>
      <c r="AM72" s="817"/>
      <c r="AN72" s="817"/>
      <c r="AO72" s="817"/>
      <c r="AP72" s="817"/>
      <c r="AQ72" s="817"/>
      <c r="AR72" s="817"/>
      <c r="AS72" s="817"/>
      <c r="AT72" s="817"/>
      <c r="AU72" s="817"/>
      <c r="AV72" s="817"/>
      <c r="AW72" s="817"/>
      <c r="AX72" s="817"/>
      <c r="AY72" s="817"/>
      <c r="AZ72" s="817"/>
      <c r="BA72" s="817"/>
      <c r="BB72" s="817"/>
      <c r="BC72" s="817"/>
      <c r="BD72" s="817"/>
      <c r="BE72" s="817"/>
      <c r="BF72" s="817"/>
      <c r="BG72" s="817"/>
      <c r="BH72" s="817"/>
      <c r="BI72" s="817"/>
      <c r="BJ72" s="817"/>
      <c r="BK72" s="817"/>
      <c r="BL72" s="817"/>
      <c r="BM72" s="817"/>
      <c r="BN72" s="817"/>
      <c r="BO72" s="817"/>
      <c r="BP72" s="817"/>
      <c r="BQ72" s="817"/>
      <c r="BR72" s="817"/>
      <c r="BS72" s="817"/>
      <c r="BT72" s="817"/>
      <c r="BU72" s="817"/>
    </row>
    <row r="73" spans="1:73" s="759" customFormat="1" ht="12.6" customHeight="1">
      <c r="A73" s="315"/>
      <c r="B73" s="315"/>
      <c r="C73" s="1159"/>
      <c r="D73" s="1159"/>
      <c r="E73" s="1159"/>
      <c r="F73" s="820"/>
      <c r="G73" s="820"/>
      <c r="H73" s="820"/>
      <c r="I73" s="820"/>
      <c r="J73" s="821"/>
      <c r="K73" s="821"/>
      <c r="L73" s="821"/>
      <c r="M73" s="821"/>
      <c r="N73" s="821"/>
      <c r="O73" s="821"/>
      <c r="P73" s="821"/>
      <c r="Q73" s="821"/>
      <c r="R73" s="820"/>
      <c r="S73" s="821"/>
      <c r="T73" s="821"/>
      <c r="U73" s="821"/>
      <c r="V73" s="821"/>
      <c r="W73" s="821"/>
      <c r="X73" s="821"/>
      <c r="Y73" s="821"/>
      <c r="Z73" s="822"/>
      <c r="AA73" s="822"/>
      <c r="AB73" s="822"/>
      <c r="AC73" s="822"/>
      <c r="AD73" s="822"/>
      <c r="AE73" s="822"/>
      <c r="AF73" s="822"/>
      <c r="AG73" s="822"/>
      <c r="AH73" s="822"/>
      <c r="AI73" s="822"/>
      <c r="AJ73" s="822"/>
      <c r="AK73" s="822"/>
      <c r="AL73" s="822"/>
      <c r="AM73" s="822"/>
      <c r="AN73" s="822"/>
      <c r="AO73" s="822"/>
      <c r="AP73" s="822"/>
      <c r="AQ73" s="822"/>
      <c r="AR73" s="822"/>
      <c r="AS73" s="822"/>
      <c r="AT73" s="822"/>
      <c r="AU73" s="822"/>
      <c r="AV73" s="822"/>
      <c r="AW73" s="822"/>
      <c r="AX73" s="822"/>
      <c r="AY73" s="822"/>
      <c r="AZ73" s="822"/>
      <c r="BA73" s="822"/>
      <c r="BB73" s="822"/>
      <c r="BC73" s="822"/>
      <c r="BD73" s="822"/>
      <c r="BE73" s="822"/>
      <c r="BF73" s="822"/>
      <c r="BG73" s="822"/>
      <c r="BH73" s="822"/>
      <c r="BI73" s="822"/>
      <c r="BJ73" s="822"/>
      <c r="BK73" s="822"/>
      <c r="BL73" s="822"/>
      <c r="BM73" s="822"/>
      <c r="BN73" s="822"/>
      <c r="BO73" s="822"/>
      <c r="BP73" s="822"/>
      <c r="BQ73" s="822"/>
      <c r="BR73" s="822"/>
      <c r="BS73" s="822"/>
      <c r="BT73" s="822"/>
      <c r="BU73" s="822"/>
    </row>
    <row r="74" spans="1:73" s="759" customFormat="1" ht="12.6" customHeight="1">
      <c r="A74" s="764"/>
      <c r="B74" s="315"/>
      <c r="C74" s="823" t="s">
        <v>1000</v>
      </c>
      <c r="D74" s="700"/>
      <c r="E74" s="700"/>
      <c r="F74" s="823"/>
      <c r="G74" s="823"/>
      <c r="H74" s="315"/>
      <c r="I74" s="700"/>
      <c r="J74" s="700" t="s">
        <v>905</v>
      </c>
      <c r="K74" s="700"/>
      <c r="L74" s="571"/>
      <c r="M74" s="700"/>
      <c r="N74" s="700"/>
      <c r="O74" s="700"/>
      <c r="P74" s="700"/>
      <c r="Q74" s="700"/>
      <c r="R74" s="824"/>
      <c r="S74" s="1160" t="s">
        <v>906</v>
      </c>
      <c r="T74" s="1160"/>
      <c r="U74" s="1160"/>
      <c r="V74" s="1160"/>
      <c r="W74" s="1160"/>
      <c r="X74" s="1160"/>
      <c r="Y74" s="1160"/>
      <c r="Z74" s="822"/>
      <c r="AA74" s="822"/>
      <c r="AB74" s="822"/>
      <c r="AC74" s="822"/>
      <c r="AD74" s="822"/>
      <c r="AE74" s="822"/>
      <c r="AF74" s="822"/>
      <c r="AG74" s="822"/>
      <c r="AH74" s="822"/>
      <c r="AI74" s="822"/>
      <c r="AJ74" s="822"/>
      <c r="AK74" s="822"/>
      <c r="AL74" s="822"/>
      <c r="AM74" s="822"/>
      <c r="AN74" s="822"/>
      <c r="AO74" s="822"/>
      <c r="AP74" s="822"/>
      <c r="AQ74" s="822"/>
      <c r="AR74" s="822"/>
      <c r="AS74" s="822"/>
      <c r="AT74" s="822"/>
      <c r="AU74" s="822"/>
      <c r="AV74" s="822"/>
      <c r="AW74" s="822"/>
      <c r="AX74" s="822"/>
      <c r="AY74" s="822"/>
      <c r="AZ74" s="822"/>
      <c r="BA74" s="822"/>
      <c r="BB74" s="822"/>
      <c r="BC74" s="822"/>
      <c r="BD74" s="822"/>
      <c r="BE74" s="822"/>
      <c r="BF74" s="822"/>
      <c r="BG74" s="822"/>
      <c r="BH74" s="822"/>
      <c r="BI74" s="822"/>
      <c r="BJ74" s="822"/>
      <c r="BK74" s="822"/>
      <c r="BL74" s="822"/>
      <c r="BM74" s="822"/>
      <c r="BN74" s="822"/>
      <c r="BO74" s="822"/>
      <c r="BP74" s="822"/>
      <c r="BQ74" s="822"/>
      <c r="BR74" s="822"/>
      <c r="BS74" s="822"/>
      <c r="BT74" s="822"/>
      <c r="BU74" s="822"/>
    </row>
    <row r="75" spans="1:73" ht="12.75" customHeight="1">
      <c r="A75" s="723"/>
      <c r="B75" s="723"/>
      <c r="C75" s="723"/>
      <c r="D75" s="723"/>
      <c r="E75" s="723"/>
      <c r="F75" s="723"/>
      <c r="G75" s="723"/>
      <c r="H75" s="723"/>
      <c r="I75" s="723"/>
      <c r="J75" s="315" t="str">
        <f>+[2]Orçamento!E344</f>
        <v>Engº Civil</v>
      </c>
      <c r="N75" s="1161"/>
      <c r="O75" s="1161"/>
      <c r="P75" s="1161"/>
      <c r="Q75" s="1161"/>
      <c r="S75" s="1162"/>
      <c r="T75" s="1162"/>
      <c r="U75" s="1162"/>
      <c r="V75" s="1162"/>
      <c r="W75" s="1162"/>
      <c r="X75" s="1162"/>
      <c r="Y75" s="1162"/>
    </row>
    <row r="76" spans="1:73" s="723" customFormat="1" ht="11.85" customHeight="1">
      <c r="J76" s="723" t="str">
        <f>+[2]Orçamento!E345</f>
        <v xml:space="preserve">CREA/SP nº </v>
      </c>
      <c r="O76" s="1155"/>
      <c r="P76" s="1155"/>
      <c r="Q76" s="1155"/>
      <c r="S76" s="1162"/>
      <c r="T76" s="1162"/>
      <c r="U76" s="1162"/>
      <c r="V76" s="1162"/>
      <c r="W76" s="1162"/>
      <c r="X76" s="1162"/>
      <c r="Y76" s="1162"/>
    </row>
    <row r="77" spans="1:73" s="723" customFormat="1" ht="11.85" customHeight="1">
      <c r="J77" s="723" t="str">
        <f>+[2]Orçamento!E346</f>
        <v>CPF nº</v>
      </c>
      <c r="O77" s="1155"/>
      <c r="P77" s="1155"/>
      <c r="Q77" s="1155"/>
    </row>
    <row r="78" spans="1:73" s="723" customFormat="1" ht="11.85" customHeight="1"/>
    <row r="79" spans="1:73" s="723" customFormat="1" ht="11.85" customHeight="1"/>
    <row r="80" spans="1:73" s="723" customFormat="1" ht="11.85" customHeight="1"/>
    <row r="81" s="723" customFormat="1" ht="11.85" customHeight="1"/>
    <row r="82" s="723" customFormat="1"/>
    <row r="83" s="723" customFormat="1"/>
    <row r="84" s="723" customFormat="1"/>
    <row r="85" s="723" customFormat="1"/>
    <row r="86" s="723" customFormat="1"/>
    <row r="87" s="723" customFormat="1"/>
    <row r="88" s="723" customFormat="1"/>
    <row r="89" s="723" customFormat="1"/>
    <row r="90" s="723" customFormat="1"/>
    <row r="91" s="723" customFormat="1"/>
    <row r="92" s="723" customFormat="1"/>
    <row r="93" s="723" customFormat="1"/>
    <row r="94" s="723" customFormat="1"/>
    <row r="95" s="723" customFormat="1"/>
    <row r="96" s="723" customFormat="1"/>
    <row r="97" s="723" customFormat="1"/>
    <row r="98" s="723" customFormat="1"/>
    <row r="99" s="723" customFormat="1"/>
    <row r="100" s="723" customFormat="1"/>
    <row r="101" s="723" customFormat="1"/>
    <row r="102" s="723" customFormat="1"/>
    <row r="103" s="723" customFormat="1"/>
    <row r="104" s="723" customFormat="1"/>
    <row r="105" s="723" customFormat="1"/>
    <row r="106" s="723" customFormat="1"/>
    <row r="107" s="723" customFormat="1"/>
    <row r="108" s="723" customFormat="1"/>
    <row r="109" s="723" customFormat="1"/>
    <row r="110" s="723" customFormat="1"/>
    <row r="111" s="723" customFormat="1"/>
    <row r="112" s="723" customFormat="1"/>
    <row r="113" s="723" customFormat="1"/>
    <row r="114" s="723" customFormat="1"/>
    <row r="115" s="723" customFormat="1"/>
    <row r="116" s="723" customFormat="1"/>
    <row r="117" s="723" customFormat="1"/>
    <row r="118" s="723" customFormat="1"/>
    <row r="119" s="723" customFormat="1"/>
    <row r="120" s="723" customFormat="1"/>
    <row r="121" s="723" customFormat="1"/>
    <row r="122" s="723" customFormat="1"/>
    <row r="123" s="723" customFormat="1"/>
    <row r="124" s="723" customFormat="1"/>
    <row r="125" s="723" customFormat="1"/>
    <row r="126" s="723" customFormat="1"/>
    <row r="127" s="723" customFormat="1"/>
    <row r="128" s="723" customFormat="1"/>
    <row r="129" s="723" customFormat="1"/>
    <row r="130" s="723" customFormat="1"/>
    <row r="131" s="723" customFormat="1"/>
    <row r="132" s="723" customFormat="1"/>
    <row r="133" s="723" customFormat="1"/>
    <row r="134" s="723" customFormat="1"/>
    <row r="135" s="723" customFormat="1"/>
    <row r="136" s="723" customFormat="1"/>
    <row r="137" s="723" customFormat="1"/>
    <row r="138" s="723" customFormat="1"/>
    <row r="139" s="723" customFormat="1"/>
    <row r="140" s="723" customFormat="1"/>
    <row r="141" s="723" customFormat="1"/>
    <row r="142" s="723" customFormat="1"/>
    <row r="143" s="723" customFormat="1"/>
    <row r="144" s="723" customFormat="1"/>
    <row r="145" s="723" customFormat="1"/>
    <row r="146" s="723" customFormat="1"/>
    <row r="147" s="723" customFormat="1"/>
    <row r="148" s="723" customFormat="1"/>
    <row r="149" s="723" customFormat="1"/>
    <row r="150" s="723" customFormat="1"/>
    <row r="151" s="723" customFormat="1"/>
    <row r="152" s="723" customFormat="1"/>
    <row r="153" s="723" customFormat="1"/>
    <row r="154" s="723" customFormat="1"/>
    <row r="155" s="723" customFormat="1"/>
    <row r="156" s="723" customFormat="1"/>
    <row r="157" s="723" customFormat="1"/>
    <row r="158" s="723" customFormat="1"/>
    <row r="159" s="723" customFormat="1"/>
    <row r="160" s="723" customFormat="1"/>
    <row r="161" s="723" customFormat="1"/>
    <row r="162" s="723" customFormat="1"/>
    <row r="163" s="723" customFormat="1"/>
    <row r="164" s="723" customFormat="1"/>
    <row r="165" s="723" customFormat="1"/>
    <row r="166" s="723" customFormat="1"/>
    <row r="167" s="723" customFormat="1"/>
    <row r="168" s="723" customFormat="1"/>
    <row r="169" s="723" customFormat="1"/>
    <row r="170" s="723" customFormat="1"/>
    <row r="171" s="723" customFormat="1"/>
    <row r="172" s="723" customFormat="1"/>
    <row r="173" s="723" customFormat="1"/>
    <row r="174" s="723" customFormat="1"/>
    <row r="175" s="723" customFormat="1"/>
    <row r="176" s="723" customFormat="1"/>
    <row r="177" s="723" customFormat="1"/>
    <row r="178" s="723" customFormat="1"/>
    <row r="179" s="723" customFormat="1"/>
    <row r="180" s="723" customFormat="1"/>
    <row r="181" s="723" customFormat="1"/>
    <row r="182" s="723" customFormat="1"/>
    <row r="183" s="723" customFormat="1"/>
    <row r="184" s="723" customFormat="1"/>
    <row r="185" s="723" customFormat="1"/>
    <row r="186" s="723" customFormat="1"/>
    <row r="187" s="723" customFormat="1"/>
    <row r="188" s="723" customFormat="1"/>
    <row r="189" s="723" customFormat="1"/>
    <row r="190" s="723" customFormat="1"/>
    <row r="191" s="723" customFormat="1"/>
    <row r="192" s="723" customFormat="1"/>
    <row r="193" s="723" customFormat="1"/>
    <row r="194" s="723" customFormat="1"/>
    <row r="195" s="723" customFormat="1"/>
    <row r="196" s="723" customFormat="1"/>
    <row r="197" s="723" customFormat="1"/>
    <row r="198" s="723" customFormat="1"/>
    <row r="199" s="723" customFormat="1"/>
    <row r="200" s="723" customFormat="1"/>
    <row r="201" s="723" customFormat="1"/>
    <row r="202" s="723" customFormat="1"/>
    <row r="203" s="723" customFormat="1"/>
    <row r="204" s="723" customFormat="1"/>
    <row r="205" s="723" customFormat="1"/>
    <row r="206" s="723" customFormat="1"/>
    <row r="207" s="723" customFormat="1"/>
    <row r="208" s="723" customFormat="1"/>
    <row r="209" s="723" customFormat="1"/>
    <row r="210" s="723" customFormat="1"/>
    <row r="211" s="723" customFormat="1"/>
    <row r="212" s="723" customFormat="1"/>
    <row r="213" s="723" customFormat="1"/>
    <row r="214" s="723" customFormat="1"/>
    <row r="215" s="723" customFormat="1"/>
    <row r="216" s="723" customFormat="1"/>
    <row r="217" s="723" customFormat="1"/>
    <row r="218" s="723" customFormat="1"/>
    <row r="219" s="723" customFormat="1"/>
    <row r="220" s="723" customFormat="1"/>
    <row r="221" s="723" customFormat="1"/>
    <row r="222" s="723" customFormat="1"/>
    <row r="223" s="723" customFormat="1"/>
    <row r="224" s="723" customFormat="1"/>
    <row r="225" s="723" customFormat="1"/>
    <row r="226" s="723" customFormat="1"/>
    <row r="227" s="723" customFormat="1"/>
    <row r="228" s="723" customFormat="1"/>
    <row r="229" s="723" customFormat="1"/>
    <row r="230" s="723" customFormat="1"/>
    <row r="231" s="723" customFormat="1"/>
    <row r="232" s="723" customFormat="1"/>
    <row r="233" s="723" customFormat="1"/>
    <row r="234" s="723" customFormat="1"/>
    <row r="235" s="723" customFormat="1"/>
    <row r="236" s="723" customFormat="1"/>
    <row r="237" s="723" customFormat="1"/>
    <row r="238" s="723" customFormat="1"/>
    <row r="239" s="723" customFormat="1"/>
    <row r="240" s="723" customFormat="1"/>
    <row r="241" s="723" customFormat="1"/>
    <row r="242" s="723" customFormat="1"/>
    <row r="243" s="723" customFormat="1"/>
    <row r="244" s="723" customFormat="1"/>
    <row r="245" s="723" customFormat="1"/>
    <row r="246" s="723" customFormat="1"/>
    <row r="247" s="723" customFormat="1"/>
    <row r="248" s="723" customFormat="1"/>
    <row r="249" s="723" customFormat="1"/>
    <row r="250" s="723" customFormat="1"/>
    <row r="251" s="723" customFormat="1"/>
    <row r="252" s="723" customFormat="1"/>
    <row r="253" s="723" customFormat="1"/>
    <row r="254" s="723" customFormat="1"/>
    <row r="255" s="723" customFormat="1"/>
    <row r="256" s="723" customFormat="1"/>
    <row r="257" s="723" customFormat="1"/>
    <row r="258" s="723" customFormat="1"/>
    <row r="259" s="723" customFormat="1"/>
    <row r="260" s="723" customFormat="1"/>
    <row r="261" s="723" customFormat="1"/>
    <row r="262" s="723" customFormat="1"/>
    <row r="263" s="723" customFormat="1"/>
    <row r="264" s="723" customFormat="1"/>
    <row r="265" s="723" customFormat="1"/>
    <row r="266" s="723" customFormat="1"/>
    <row r="267" s="723" customFormat="1"/>
    <row r="268" s="723" customFormat="1"/>
    <row r="269" s="723" customFormat="1"/>
    <row r="270" s="723" customFormat="1"/>
    <row r="271" s="723" customFormat="1"/>
    <row r="272" s="723" customFormat="1"/>
    <row r="273" s="723" customFormat="1"/>
    <row r="274" s="723" customFormat="1"/>
    <row r="275" s="723" customFormat="1"/>
    <row r="276" s="723" customFormat="1"/>
    <row r="277" s="723" customFormat="1"/>
    <row r="278" s="723" customFormat="1"/>
    <row r="279" s="723" customFormat="1"/>
    <row r="280" s="723" customFormat="1"/>
    <row r="281" s="723" customFormat="1"/>
    <row r="282" s="723" customFormat="1"/>
    <row r="283" s="723" customFormat="1"/>
    <row r="284" s="723" customFormat="1"/>
    <row r="285" s="723" customFormat="1"/>
    <row r="286" s="723" customFormat="1"/>
    <row r="287" s="723" customFormat="1"/>
    <row r="288" s="723" customFormat="1"/>
    <row r="289" s="723" customFormat="1"/>
    <row r="290" s="723" customFormat="1"/>
    <row r="291" s="723" customFormat="1"/>
    <row r="292" s="723" customFormat="1"/>
    <row r="293" s="723" customFormat="1"/>
    <row r="294" s="723" customFormat="1"/>
    <row r="295" s="723" customFormat="1"/>
    <row r="296" s="723" customFormat="1"/>
    <row r="297" s="723" customFormat="1"/>
    <row r="298" s="723" customFormat="1"/>
    <row r="299" s="723" customFormat="1"/>
    <row r="300" s="723" customFormat="1"/>
    <row r="301" s="723" customFormat="1"/>
    <row r="302" s="723" customFormat="1"/>
    <row r="303" s="723" customFormat="1"/>
    <row r="304" s="723" customFormat="1"/>
    <row r="305" spans="1:25">
      <c r="A305" s="723"/>
      <c r="B305" s="723"/>
      <c r="C305" s="723"/>
      <c r="D305" s="723"/>
      <c r="E305" s="723"/>
      <c r="F305" s="723"/>
      <c r="G305" s="723"/>
      <c r="H305" s="723"/>
      <c r="I305" s="723"/>
      <c r="J305" s="723"/>
      <c r="K305" s="723"/>
      <c r="L305" s="723"/>
      <c r="M305" s="723"/>
      <c r="N305" s="723"/>
      <c r="O305" s="723"/>
      <c r="P305" s="723"/>
      <c r="Q305" s="723"/>
      <c r="R305" s="723"/>
      <c r="S305" s="723"/>
      <c r="T305" s="723"/>
      <c r="U305" s="723"/>
      <c r="V305" s="723"/>
      <c r="W305" s="723"/>
      <c r="X305" s="723"/>
      <c r="Y305" s="723"/>
    </row>
    <row r="306" spans="1:25">
      <c r="A306" s="723"/>
      <c r="B306" s="723"/>
      <c r="C306" s="723"/>
      <c r="D306" s="723"/>
      <c r="E306" s="723"/>
      <c r="F306" s="723"/>
      <c r="G306" s="723"/>
      <c r="H306" s="723"/>
      <c r="I306" s="723"/>
      <c r="J306" s="723"/>
      <c r="K306" s="723"/>
      <c r="L306" s="723"/>
      <c r="M306" s="723"/>
      <c r="N306" s="723"/>
      <c r="O306" s="723"/>
      <c r="P306" s="723"/>
      <c r="Q306" s="723"/>
      <c r="R306" s="723"/>
      <c r="S306" s="723"/>
      <c r="T306" s="723"/>
      <c r="U306" s="723"/>
      <c r="V306" s="723"/>
      <c r="W306" s="723"/>
      <c r="X306" s="723"/>
      <c r="Y306" s="723"/>
    </row>
    <row r="307" spans="1:25">
      <c r="A307" s="723"/>
      <c r="B307" s="723"/>
      <c r="C307" s="723"/>
      <c r="D307" s="723"/>
      <c r="E307" s="723"/>
      <c r="F307" s="723"/>
      <c r="G307" s="723"/>
      <c r="H307" s="723"/>
      <c r="I307" s="723"/>
      <c r="J307" s="723"/>
      <c r="K307" s="723"/>
      <c r="L307" s="723"/>
      <c r="M307" s="723"/>
      <c r="N307" s="723"/>
      <c r="O307" s="723"/>
      <c r="P307" s="723"/>
      <c r="Q307" s="723"/>
      <c r="R307" s="723"/>
      <c r="S307" s="723"/>
      <c r="T307" s="723"/>
      <c r="U307" s="723"/>
      <c r="V307" s="723"/>
      <c r="W307" s="723"/>
      <c r="X307" s="723"/>
      <c r="Y307" s="723"/>
    </row>
    <row r="308" spans="1:25">
      <c r="A308" s="723"/>
      <c r="B308" s="723"/>
      <c r="C308" s="723"/>
      <c r="D308" s="723"/>
      <c r="E308" s="723"/>
      <c r="F308" s="723"/>
      <c r="G308" s="723"/>
      <c r="H308" s="723"/>
      <c r="I308" s="723"/>
      <c r="J308" s="723"/>
      <c r="K308" s="723"/>
      <c r="L308" s="723"/>
      <c r="M308" s="723"/>
      <c r="N308" s="723"/>
      <c r="O308" s="723"/>
      <c r="P308" s="723"/>
      <c r="Q308" s="723"/>
      <c r="R308" s="723"/>
      <c r="S308" s="723"/>
      <c r="T308" s="723"/>
      <c r="U308" s="723"/>
      <c r="V308" s="723"/>
      <c r="W308" s="723"/>
      <c r="X308" s="723"/>
      <c r="Y308" s="723"/>
    </row>
    <row r="309" spans="1:25">
      <c r="A309" s="723"/>
      <c r="B309" s="723"/>
      <c r="C309" s="723"/>
      <c r="D309" s="723"/>
      <c r="E309" s="723"/>
      <c r="F309" s="723"/>
      <c r="G309" s="723"/>
      <c r="H309" s="723"/>
      <c r="I309" s="723"/>
      <c r="J309" s="723"/>
      <c r="K309" s="723"/>
      <c r="L309" s="723"/>
      <c r="M309" s="723"/>
      <c r="N309" s="723"/>
      <c r="O309" s="723"/>
      <c r="P309" s="723"/>
      <c r="Q309" s="723"/>
      <c r="R309" s="723"/>
      <c r="S309" s="723"/>
      <c r="T309" s="723"/>
      <c r="U309" s="723"/>
      <c r="V309" s="723"/>
      <c r="W309" s="723"/>
      <c r="X309" s="723"/>
      <c r="Y309" s="723"/>
    </row>
    <row r="310" spans="1:25">
      <c r="A310" s="723"/>
      <c r="B310" s="723"/>
      <c r="C310" s="723"/>
      <c r="D310" s="723"/>
      <c r="E310" s="723"/>
      <c r="F310" s="723"/>
      <c r="G310" s="723"/>
      <c r="H310" s="723"/>
      <c r="I310" s="723"/>
      <c r="J310" s="723"/>
      <c r="K310" s="723"/>
      <c r="L310" s="723"/>
      <c r="M310" s="723"/>
      <c r="N310" s="723"/>
      <c r="O310" s="723"/>
      <c r="P310" s="723"/>
      <c r="Q310" s="723"/>
      <c r="R310" s="723"/>
      <c r="S310" s="723"/>
      <c r="T310" s="723"/>
      <c r="U310" s="723"/>
      <c r="V310" s="723"/>
      <c r="W310" s="723"/>
      <c r="X310" s="723"/>
      <c r="Y310" s="723"/>
    </row>
    <row r="311" spans="1:25">
      <c r="A311" s="723"/>
      <c r="B311" s="723"/>
      <c r="C311" s="723"/>
      <c r="D311" s="723"/>
      <c r="E311" s="723"/>
      <c r="F311" s="723"/>
      <c r="G311" s="723"/>
      <c r="H311" s="723"/>
      <c r="I311" s="723"/>
      <c r="J311" s="723"/>
      <c r="K311" s="723"/>
      <c r="L311" s="723"/>
      <c r="M311" s="723"/>
      <c r="N311" s="723"/>
      <c r="O311" s="723"/>
      <c r="P311" s="723"/>
      <c r="Q311" s="723"/>
      <c r="R311" s="723"/>
      <c r="S311" s="723"/>
      <c r="T311" s="723"/>
      <c r="U311" s="723"/>
      <c r="V311" s="723"/>
      <c r="W311" s="723"/>
      <c r="X311" s="723"/>
      <c r="Y311" s="723"/>
    </row>
    <row r="312" spans="1:25">
      <c r="A312" s="723"/>
      <c r="B312" s="723"/>
      <c r="C312" s="723"/>
      <c r="D312" s="723"/>
      <c r="E312" s="723"/>
      <c r="F312" s="723"/>
      <c r="G312" s="723"/>
      <c r="H312" s="723"/>
      <c r="I312" s="723"/>
      <c r="J312" s="723"/>
      <c r="K312" s="723"/>
      <c r="L312" s="723"/>
      <c r="M312" s="723"/>
      <c r="N312" s="723"/>
      <c r="O312" s="723"/>
      <c r="P312" s="723"/>
      <c r="Q312" s="723"/>
      <c r="R312" s="723"/>
      <c r="S312" s="723"/>
      <c r="T312" s="723"/>
      <c r="U312" s="723"/>
      <c r="V312" s="723"/>
      <c r="W312" s="723"/>
      <c r="X312" s="723"/>
      <c r="Y312" s="723"/>
    </row>
    <row r="313" spans="1:25">
      <c r="A313" s="723"/>
      <c r="B313" s="723"/>
      <c r="C313" s="723"/>
      <c r="D313" s="723"/>
      <c r="E313" s="723"/>
      <c r="F313" s="723"/>
      <c r="G313" s="723"/>
      <c r="H313" s="723"/>
      <c r="I313" s="723"/>
      <c r="J313" s="723"/>
      <c r="K313" s="723"/>
      <c r="L313" s="723"/>
      <c r="M313" s="723"/>
      <c r="N313" s="723"/>
      <c r="O313" s="723"/>
      <c r="P313" s="723"/>
      <c r="Q313" s="723"/>
      <c r="R313" s="723"/>
      <c r="S313" s="723"/>
      <c r="T313" s="723"/>
      <c r="U313" s="723"/>
      <c r="V313" s="723"/>
      <c r="W313" s="723"/>
      <c r="X313" s="723"/>
      <c r="Y313" s="723"/>
    </row>
    <row r="314" spans="1:25">
      <c r="A314" s="723"/>
      <c r="B314" s="723"/>
      <c r="C314" s="723"/>
      <c r="D314" s="723"/>
      <c r="E314" s="723"/>
      <c r="F314" s="723"/>
      <c r="G314" s="723"/>
      <c r="H314" s="723"/>
      <c r="I314" s="723"/>
      <c r="J314" s="723"/>
      <c r="K314" s="723"/>
      <c r="L314" s="723"/>
      <c r="M314" s="723"/>
      <c r="N314" s="723"/>
      <c r="O314" s="723"/>
      <c r="P314" s="723"/>
      <c r="Q314" s="723"/>
      <c r="R314" s="723"/>
      <c r="S314" s="723"/>
      <c r="T314" s="723"/>
      <c r="U314" s="723"/>
      <c r="V314" s="723"/>
      <c r="W314" s="723"/>
      <c r="X314" s="723"/>
      <c r="Y314" s="723"/>
    </row>
    <row r="315" spans="1:25">
      <c r="A315" s="723"/>
      <c r="B315" s="723"/>
      <c r="C315" s="723"/>
      <c r="D315" s="723"/>
      <c r="E315" s="723"/>
      <c r="F315" s="723"/>
      <c r="G315" s="723"/>
      <c r="H315" s="723"/>
      <c r="I315" s="723"/>
      <c r="J315" s="723"/>
      <c r="K315" s="723"/>
      <c r="L315" s="723"/>
      <c r="M315" s="723"/>
      <c r="N315" s="723"/>
      <c r="O315" s="723"/>
      <c r="P315" s="723"/>
      <c r="Q315" s="723"/>
      <c r="R315" s="723"/>
      <c r="S315" s="723"/>
      <c r="T315" s="723"/>
      <c r="U315" s="723"/>
      <c r="V315" s="723"/>
      <c r="W315" s="723"/>
      <c r="X315" s="723"/>
      <c r="Y315" s="723"/>
    </row>
    <row r="316" spans="1:25">
      <c r="A316" s="723"/>
      <c r="B316" s="723"/>
      <c r="C316" s="723"/>
      <c r="D316" s="723"/>
      <c r="E316" s="723"/>
      <c r="F316" s="723"/>
      <c r="G316" s="723"/>
      <c r="H316" s="723"/>
      <c r="I316" s="723"/>
      <c r="J316" s="723"/>
      <c r="K316" s="723"/>
      <c r="L316" s="723"/>
      <c r="M316" s="723"/>
      <c r="N316" s="723"/>
      <c r="O316" s="723"/>
      <c r="P316" s="723"/>
      <c r="Q316" s="723"/>
      <c r="R316" s="723"/>
      <c r="S316" s="723"/>
      <c r="T316" s="723"/>
      <c r="U316" s="723"/>
      <c r="V316" s="723"/>
      <c r="W316" s="723"/>
      <c r="X316" s="723"/>
      <c r="Y316" s="723"/>
    </row>
    <row r="317" spans="1:25">
      <c r="A317" s="723"/>
      <c r="B317" s="723"/>
      <c r="C317" s="723"/>
      <c r="D317" s="723"/>
      <c r="E317" s="723"/>
      <c r="F317" s="723"/>
      <c r="G317" s="723"/>
      <c r="H317" s="723"/>
      <c r="I317" s="723"/>
      <c r="J317" s="723"/>
      <c r="K317" s="723"/>
      <c r="L317" s="723"/>
      <c r="M317" s="723"/>
      <c r="N317" s="723"/>
      <c r="O317" s="723"/>
      <c r="P317" s="723"/>
      <c r="Q317" s="723"/>
      <c r="R317" s="723"/>
      <c r="S317" s="723"/>
      <c r="T317" s="723"/>
      <c r="U317" s="723"/>
      <c r="V317" s="723"/>
      <c r="W317" s="723"/>
      <c r="X317" s="723"/>
      <c r="Y317" s="723"/>
    </row>
    <row r="318" spans="1:25">
      <c r="A318" s="723"/>
      <c r="B318" s="723"/>
      <c r="C318" s="723"/>
      <c r="D318" s="723"/>
      <c r="E318" s="723"/>
      <c r="F318" s="723"/>
      <c r="G318" s="723"/>
      <c r="H318" s="723"/>
      <c r="I318" s="723"/>
      <c r="J318" s="723"/>
      <c r="K318" s="723"/>
      <c r="L318" s="723"/>
      <c r="M318" s="723"/>
      <c r="N318" s="723"/>
      <c r="O318" s="723"/>
      <c r="P318" s="723"/>
      <c r="Q318" s="723"/>
      <c r="R318" s="723"/>
      <c r="S318" s="723"/>
      <c r="T318" s="723"/>
      <c r="U318" s="723"/>
      <c r="V318" s="723"/>
      <c r="W318" s="723"/>
      <c r="X318" s="723"/>
      <c r="Y318" s="723"/>
    </row>
    <row r="319" spans="1:25">
      <c r="A319" s="723"/>
      <c r="B319" s="723"/>
      <c r="C319" s="723"/>
      <c r="D319" s="723"/>
      <c r="E319" s="723"/>
      <c r="F319" s="723"/>
      <c r="G319" s="723"/>
      <c r="H319" s="723"/>
      <c r="I319" s="723"/>
      <c r="J319" s="723"/>
      <c r="K319" s="723"/>
      <c r="L319" s="723"/>
      <c r="M319" s="723"/>
      <c r="N319" s="723"/>
      <c r="O319" s="723"/>
      <c r="P319" s="723"/>
      <c r="Q319" s="723"/>
      <c r="R319" s="723"/>
      <c r="S319" s="723"/>
      <c r="T319" s="723"/>
      <c r="U319" s="723"/>
      <c r="V319" s="723"/>
      <c r="W319" s="723"/>
      <c r="X319" s="723"/>
      <c r="Y319" s="723"/>
    </row>
    <row r="320" spans="1:25">
      <c r="A320" s="723"/>
      <c r="B320" s="723"/>
      <c r="C320" s="723"/>
      <c r="D320" s="723"/>
      <c r="E320" s="723"/>
      <c r="F320" s="723"/>
      <c r="G320" s="723"/>
      <c r="H320" s="723"/>
      <c r="I320" s="723"/>
      <c r="J320" s="723"/>
      <c r="K320" s="723"/>
      <c r="L320" s="723"/>
      <c r="M320" s="723"/>
      <c r="N320" s="723"/>
      <c r="O320" s="723"/>
      <c r="P320" s="723"/>
      <c r="Q320" s="723"/>
      <c r="R320" s="723"/>
      <c r="S320" s="723"/>
      <c r="T320" s="723"/>
      <c r="U320" s="723"/>
      <c r="V320" s="723"/>
      <c r="W320" s="723"/>
      <c r="X320" s="723"/>
      <c r="Y320" s="723"/>
    </row>
    <row r="321" spans="1:25">
      <c r="A321" s="723"/>
      <c r="B321" s="723"/>
      <c r="C321" s="723"/>
      <c r="D321" s="723"/>
      <c r="E321" s="723"/>
      <c r="F321" s="723"/>
      <c r="G321" s="723"/>
      <c r="H321" s="723"/>
      <c r="I321" s="723"/>
      <c r="J321" s="723"/>
      <c r="K321" s="723"/>
      <c r="L321" s="723"/>
      <c r="M321" s="723"/>
      <c r="N321" s="723"/>
      <c r="O321" s="723"/>
      <c r="P321" s="723"/>
      <c r="Q321" s="723"/>
      <c r="R321" s="723"/>
      <c r="S321" s="723"/>
      <c r="T321" s="723"/>
      <c r="U321" s="723"/>
      <c r="V321" s="723"/>
      <c r="W321" s="723"/>
      <c r="X321" s="723"/>
      <c r="Y321" s="723"/>
    </row>
    <row r="322" spans="1:25">
      <c r="A322" s="723"/>
      <c r="B322" s="723"/>
      <c r="C322" s="723"/>
      <c r="D322" s="723"/>
      <c r="E322" s="723"/>
      <c r="F322" s="723"/>
      <c r="G322" s="723"/>
      <c r="H322" s="723"/>
      <c r="I322" s="723"/>
      <c r="J322" s="723"/>
      <c r="K322" s="723"/>
      <c r="L322" s="723"/>
      <c r="M322" s="723"/>
      <c r="N322" s="723"/>
      <c r="O322" s="723"/>
      <c r="P322" s="723"/>
      <c r="Q322" s="723"/>
      <c r="R322" s="723"/>
      <c r="S322" s="723"/>
      <c r="T322" s="723"/>
      <c r="U322" s="723"/>
      <c r="V322" s="723"/>
      <c r="W322" s="723"/>
      <c r="X322" s="723"/>
      <c r="Y322" s="723"/>
    </row>
    <row r="323" spans="1:25">
      <c r="A323" s="723"/>
      <c r="B323" s="723"/>
      <c r="C323" s="723"/>
      <c r="D323" s="723"/>
      <c r="E323" s="723"/>
      <c r="F323" s="723"/>
      <c r="G323" s="723"/>
      <c r="H323" s="723"/>
      <c r="I323" s="723"/>
      <c r="J323" s="723"/>
      <c r="K323" s="723"/>
      <c r="L323" s="723"/>
      <c r="M323" s="723"/>
      <c r="N323" s="723"/>
      <c r="O323" s="723"/>
      <c r="P323" s="723"/>
      <c r="Q323" s="723"/>
      <c r="R323" s="723"/>
      <c r="S323" s="723"/>
      <c r="T323" s="723"/>
      <c r="U323" s="723"/>
      <c r="V323" s="723"/>
      <c r="W323" s="723"/>
      <c r="X323" s="723"/>
      <c r="Y323" s="723"/>
    </row>
    <row r="324" spans="1:25">
      <c r="A324" s="723"/>
      <c r="B324" s="723"/>
      <c r="C324" s="723"/>
      <c r="D324" s="723"/>
      <c r="E324" s="723"/>
      <c r="F324" s="723"/>
      <c r="G324" s="723"/>
      <c r="H324" s="723"/>
      <c r="I324" s="723"/>
      <c r="J324" s="723"/>
      <c r="K324" s="723"/>
      <c r="L324" s="723"/>
      <c r="M324" s="723"/>
      <c r="N324" s="723"/>
      <c r="O324" s="723"/>
      <c r="P324" s="723"/>
      <c r="Q324" s="723"/>
      <c r="R324" s="723"/>
      <c r="S324" s="723"/>
      <c r="T324" s="723"/>
      <c r="U324" s="723"/>
      <c r="V324" s="723"/>
      <c r="W324" s="723"/>
      <c r="X324" s="723"/>
      <c r="Y324" s="723"/>
    </row>
    <row r="325" spans="1:25">
      <c r="A325" s="723"/>
      <c r="B325" s="723"/>
      <c r="C325" s="723"/>
      <c r="D325" s="723"/>
      <c r="E325" s="723"/>
      <c r="F325" s="723"/>
      <c r="G325" s="723"/>
      <c r="H325" s="723"/>
      <c r="I325" s="723"/>
      <c r="J325" s="723"/>
      <c r="K325" s="723"/>
      <c r="L325" s="723"/>
      <c r="M325" s="723"/>
      <c r="N325" s="723"/>
      <c r="O325" s="723"/>
      <c r="P325" s="723"/>
      <c r="Q325" s="723"/>
      <c r="R325" s="723"/>
      <c r="S325" s="723"/>
      <c r="T325" s="723"/>
      <c r="U325" s="723"/>
      <c r="V325" s="723"/>
      <c r="W325" s="723"/>
      <c r="X325" s="723"/>
      <c r="Y325" s="723"/>
    </row>
    <row r="326" spans="1:25">
      <c r="A326" s="723"/>
      <c r="B326" s="723"/>
      <c r="C326" s="723"/>
      <c r="D326" s="723"/>
      <c r="E326" s="723"/>
      <c r="F326" s="723"/>
      <c r="G326" s="723"/>
      <c r="H326" s="723"/>
      <c r="I326" s="723"/>
      <c r="J326" s="723"/>
      <c r="K326" s="723"/>
      <c r="L326" s="723"/>
      <c r="M326" s="723"/>
      <c r="N326" s="723"/>
      <c r="O326" s="723"/>
      <c r="P326" s="723"/>
      <c r="Q326" s="723"/>
      <c r="R326" s="723"/>
      <c r="S326" s="723"/>
      <c r="T326" s="723"/>
      <c r="U326" s="723"/>
      <c r="V326" s="723"/>
      <c r="W326" s="723"/>
      <c r="X326" s="723"/>
      <c r="Y326" s="723"/>
    </row>
    <row r="327" spans="1:25">
      <c r="A327" s="723"/>
      <c r="B327" s="723"/>
      <c r="C327" s="723"/>
      <c r="D327" s="723"/>
      <c r="E327" s="723"/>
      <c r="F327" s="723"/>
      <c r="G327" s="723"/>
      <c r="H327" s="723"/>
      <c r="I327" s="723"/>
      <c r="J327" s="723"/>
      <c r="K327" s="723"/>
      <c r="L327" s="723"/>
      <c r="M327" s="723"/>
      <c r="N327" s="723"/>
      <c r="O327" s="723"/>
      <c r="P327" s="723"/>
      <c r="Q327" s="723"/>
      <c r="R327" s="723"/>
      <c r="S327" s="723"/>
      <c r="T327" s="723"/>
      <c r="U327" s="723"/>
      <c r="V327" s="723"/>
      <c r="W327" s="723"/>
      <c r="X327" s="723"/>
      <c r="Y327" s="723"/>
    </row>
    <row r="328" spans="1:25">
      <c r="A328" s="723"/>
      <c r="B328" s="723"/>
      <c r="C328" s="723"/>
      <c r="D328" s="723"/>
      <c r="E328" s="723"/>
      <c r="F328" s="723"/>
      <c r="G328" s="723"/>
      <c r="H328" s="723"/>
      <c r="I328" s="723"/>
      <c r="J328" s="723"/>
      <c r="K328" s="723"/>
      <c r="L328" s="723"/>
      <c r="M328" s="723"/>
      <c r="N328" s="723"/>
      <c r="O328" s="723"/>
      <c r="P328" s="723"/>
      <c r="Q328" s="723"/>
      <c r="R328" s="723"/>
      <c r="S328" s="723"/>
      <c r="T328" s="723"/>
      <c r="U328" s="723"/>
      <c r="V328" s="723"/>
      <c r="W328" s="723"/>
      <c r="X328" s="723"/>
      <c r="Y328" s="723"/>
    </row>
    <row r="329" spans="1:25">
      <c r="A329" s="723"/>
      <c r="B329" s="723"/>
      <c r="C329" s="723"/>
      <c r="D329" s="723"/>
      <c r="E329" s="723"/>
      <c r="F329" s="723"/>
      <c r="G329" s="723"/>
      <c r="H329" s="723"/>
      <c r="I329" s="723"/>
      <c r="J329" s="723"/>
      <c r="K329" s="723"/>
      <c r="L329" s="723"/>
      <c r="M329" s="723"/>
      <c r="N329" s="723"/>
      <c r="O329" s="723"/>
      <c r="P329" s="723"/>
      <c r="Q329" s="723"/>
      <c r="R329" s="723"/>
      <c r="S329" s="723"/>
      <c r="T329" s="723"/>
      <c r="U329" s="723"/>
      <c r="V329" s="723"/>
      <c r="W329" s="723"/>
      <c r="X329" s="723"/>
      <c r="Y329" s="723"/>
    </row>
    <row r="330" spans="1:25">
      <c r="A330" s="723"/>
      <c r="B330" s="723"/>
      <c r="C330" s="723"/>
      <c r="D330" s="723"/>
      <c r="E330" s="723"/>
      <c r="F330" s="723"/>
      <c r="G330" s="723"/>
      <c r="H330" s="723"/>
      <c r="I330" s="723"/>
      <c r="J330" s="723"/>
      <c r="K330" s="723"/>
      <c r="L330" s="723"/>
      <c r="M330" s="723"/>
      <c r="N330" s="723"/>
      <c r="O330" s="723"/>
      <c r="P330" s="723"/>
      <c r="Q330" s="723"/>
      <c r="R330" s="723"/>
      <c r="S330" s="723"/>
      <c r="T330" s="723"/>
      <c r="U330" s="723"/>
      <c r="V330" s="723"/>
      <c r="W330" s="723"/>
      <c r="X330" s="723"/>
      <c r="Y330" s="723"/>
    </row>
    <row r="331" spans="1:25">
      <c r="A331" s="723"/>
      <c r="B331" s="723"/>
      <c r="C331" s="723"/>
      <c r="D331" s="723"/>
      <c r="E331" s="723"/>
      <c r="F331" s="723"/>
      <c r="G331" s="723"/>
      <c r="H331" s="723"/>
      <c r="I331" s="723"/>
      <c r="J331" s="723"/>
      <c r="K331" s="723"/>
      <c r="L331" s="723"/>
      <c r="M331" s="723"/>
      <c r="N331" s="723"/>
      <c r="O331" s="723"/>
      <c r="P331" s="723"/>
      <c r="Q331" s="723"/>
      <c r="R331" s="723"/>
      <c r="S331" s="723"/>
      <c r="T331" s="723"/>
      <c r="U331" s="723"/>
      <c r="V331" s="723"/>
      <c r="W331" s="723"/>
      <c r="X331" s="723"/>
      <c r="Y331" s="723"/>
    </row>
    <row r="332" spans="1:25">
      <c r="A332" s="723"/>
      <c r="B332" s="723"/>
      <c r="C332" s="723"/>
      <c r="D332" s="723"/>
      <c r="E332" s="723"/>
      <c r="F332" s="723"/>
      <c r="G332" s="723"/>
      <c r="H332" s="723"/>
      <c r="I332" s="723"/>
      <c r="J332" s="723"/>
      <c r="K332" s="723"/>
      <c r="L332" s="723"/>
      <c r="M332" s="723"/>
      <c r="N332" s="723"/>
      <c r="O332" s="723"/>
      <c r="P332" s="723"/>
      <c r="Q332" s="723"/>
      <c r="R332" s="723"/>
      <c r="S332" s="723"/>
      <c r="T332" s="723"/>
      <c r="U332" s="723"/>
      <c r="V332" s="723"/>
      <c r="W332" s="723"/>
      <c r="X332" s="723"/>
      <c r="Y332" s="723"/>
    </row>
    <row r="333" spans="1:25">
      <c r="A333" s="723"/>
      <c r="B333" s="723"/>
      <c r="C333" s="723"/>
      <c r="D333" s="723"/>
      <c r="E333" s="723"/>
      <c r="F333" s="723"/>
      <c r="G333" s="723"/>
      <c r="H333" s="723"/>
      <c r="I333" s="723"/>
      <c r="J333" s="723"/>
      <c r="K333" s="723"/>
      <c r="L333" s="723"/>
      <c r="M333" s="723"/>
      <c r="N333" s="723"/>
      <c r="O333" s="723"/>
      <c r="P333" s="723"/>
      <c r="Q333" s="723"/>
      <c r="R333" s="723"/>
      <c r="S333" s="723"/>
      <c r="T333" s="723"/>
      <c r="U333" s="723"/>
      <c r="V333" s="723"/>
      <c r="W333" s="723"/>
      <c r="X333" s="723"/>
      <c r="Y333" s="723"/>
    </row>
    <row r="334" spans="1:25">
      <c r="A334" s="723"/>
      <c r="B334" s="723"/>
      <c r="C334" s="723"/>
      <c r="D334" s="723"/>
      <c r="E334" s="723"/>
      <c r="F334" s="723"/>
      <c r="G334" s="723"/>
      <c r="H334" s="723"/>
      <c r="I334" s="723"/>
      <c r="J334" s="723"/>
      <c r="K334" s="723"/>
      <c r="L334" s="723"/>
      <c r="M334" s="723"/>
      <c r="N334" s="723"/>
      <c r="O334" s="723"/>
      <c r="P334" s="723"/>
      <c r="Q334" s="723"/>
      <c r="R334" s="723"/>
      <c r="S334" s="723"/>
      <c r="T334" s="723"/>
      <c r="U334" s="723"/>
      <c r="V334" s="723"/>
      <c r="W334" s="723"/>
      <c r="X334" s="723"/>
      <c r="Y334" s="723"/>
    </row>
    <row r="335" spans="1:25">
      <c r="A335" s="723"/>
      <c r="B335" s="723"/>
      <c r="C335" s="723"/>
      <c r="D335" s="723"/>
      <c r="E335" s="723"/>
      <c r="F335" s="723"/>
      <c r="G335" s="723"/>
      <c r="H335" s="723"/>
      <c r="I335" s="723"/>
      <c r="J335" s="723"/>
      <c r="K335" s="723"/>
      <c r="L335" s="723"/>
      <c r="M335" s="723"/>
      <c r="N335" s="723"/>
      <c r="O335" s="723"/>
      <c r="P335" s="723"/>
      <c r="Q335" s="723"/>
      <c r="R335" s="723"/>
      <c r="S335" s="723"/>
      <c r="T335" s="723"/>
      <c r="U335" s="723"/>
      <c r="V335" s="723"/>
      <c r="W335" s="723"/>
      <c r="X335" s="723"/>
      <c r="Y335" s="723"/>
    </row>
    <row r="336" spans="1:25">
      <c r="A336" s="723"/>
      <c r="B336" s="723"/>
      <c r="C336" s="723"/>
      <c r="D336" s="723"/>
      <c r="E336" s="723"/>
      <c r="F336" s="723"/>
      <c r="G336" s="723"/>
      <c r="H336" s="723"/>
      <c r="I336" s="723"/>
      <c r="J336" s="723"/>
      <c r="K336" s="723"/>
      <c r="L336" s="723"/>
      <c r="M336" s="723"/>
      <c r="N336" s="723"/>
      <c r="O336" s="723"/>
      <c r="P336" s="723"/>
      <c r="Q336" s="723"/>
      <c r="R336" s="723"/>
      <c r="S336" s="723"/>
      <c r="T336" s="723"/>
      <c r="U336" s="723"/>
      <c r="V336" s="723"/>
      <c r="W336" s="723"/>
      <c r="X336" s="723"/>
      <c r="Y336" s="723"/>
    </row>
    <row r="337" spans="1:25">
      <c r="A337" s="723"/>
      <c r="B337" s="723"/>
      <c r="C337" s="723"/>
      <c r="D337" s="723"/>
      <c r="E337" s="723"/>
      <c r="F337" s="723"/>
      <c r="G337" s="723"/>
      <c r="H337" s="723"/>
      <c r="I337" s="723"/>
      <c r="J337" s="723"/>
      <c r="K337" s="723"/>
      <c r="L337" s="723"/>
      <c r="M337" s="723"/>
      <c r="N337" s="723"/>
      <c r="O337" s="723"/>
      <c r="P337" s="723"/>
      <c r="Q337" s="723"/>
      <c r="R337" s="723"/>
      <c r="S337" s="723"/>
      <c r="T337" s="723"/>
      <c r="U337" s="723"/>
      <c r="V337" s="723"/>
      <c r="W337" s="723"/>
      <c r="X337" s="723"/>
      <c r="Y337" s="723"/>
    </row>
    <row r="338" spans="1:25">
      <c r="A338" s="723"/>
      <c r="B338" s="723"/>
      <c r="C338" s="723"/>
      <c r="D338" s="723"/>
      <c r="E338" s="723"/>
      <c r="F338" s="723"/>
      <c r="G338" s="723"/>
      <c r="H338" s="723"/>
      <c r="I338" s="723"/>
      <c r="J338" s="723"/>
      <c r="K338" s="723"/>
      <c r="L338" s="723"/>
      <c r="M338" s="723"/>
      <c r="N338" s="723"/>
      <c r="O338" s="723"/>
      <c r="P338" s="723"/>
      <c r="Q338" s="723"/>
      <c r="R338" s="723"/>
      <c r="S338" s="723"/>
      <c r="T338" s="723"/>
      <c r="U338" s="723"/>
      <c r="V338" s="723"/>
      <c r="W338" s="723"/>
      <c r="X338" s="723"/>
      <c r="Y338" s="723"/>
    </row>
    <row r="339" spans="1:25">
      <c r="A339" s="723"/>
      <c r="B339" s="723"/>
      <c r="C339" s="723"/>
      <c r="D339" s="723"/>
      <c r="E339" s="723"/>
      <c r="F339" s="723"/>
      <c r="G339" s="723"/>
      <c r="H339" s="723"/>
      <c r="I339" s="723"/>
      <c r="J339" s="723"/>
      <c r="K339" s="723"/>
      <c r="L339" s="723"/>
      <c r="M339" s="723"/>
      <c r="N339" s="723"/>
      <c r="O339" s="723"/>
      <c r="P339" s="723"/>
      <c r="Q339" s="723"/>
      <c r="R339" s="723"/>
      <c r="S339" s="723"/>
      <c r="T339" s="723"/>
      <c r="U339" s="723"/>
      <c r="V339" s="723"/>
      <c r="W339" s="723"/>
      <c r="X339" s="723"/>
      <c r="Y339" s="723"/>
    </row>
    <row r="340" spans="1:25">
      <c r="A340" s="723"/>
      <c r="B340" s="723"/>
      <c r="C340" s="723"/>
      <c r="D340" s="723"/>
      <c r="E340" s="723"/>
      <c r="F340" s="723"/>
      <c r="G340" s="723"/>
      <c r="H340" s="723"/>
      <c r="I340" s="723"/>
      <c r="J340" s="723"/>
      <c r="K340" s="723"/>
      <c r="L340" s="723"/>
      <c r="M340" s="723"/>
      <c r="N340" s="723"/>
      <c r="O340" s="723"/>
      <c r="P340" s="723"/>
      <c r="Q340" s="723"/>
      <c r="R340" s="723"/>
      <c r="S340" s="723"/>
      <c r="T340" s="723"/>
      <c r="U340" s="723"/>
      <c r="V340" s="723"/>
      <c r="W340" s="723"/>
      <c r="X340" s="723"/>
      <c r="Y340" s="723"/>
    </row>
    <row r="341" spans="1:25">
      <c r="A341" s="723"/>
      <c r="B341" s="723"/>
      <c r="C341" s="723"/>
      <c r="D341" s="723"/>
      <c r="E341" s="723"/>
      <c r="F341" s="723"/>
      <c r="G341" s="723"/>
      <c r="H341" s="723"/>
      <c r="I341" s="723"/>
      <c r="J341" s="723"/>
      <c r="K341" s="723"/>
      <c r="L341" s="723"/>
      <c r="M341" s="723"/>
      <c r="N341" s="723"/>
      <c r="O341" s="723"/>
      <c r="P341" s="723"/>
      <c r="Q341" s="723"/>
      <c r="R341" s="723"/>
      <c r="S341" s="723"/>
      <c r="T341" s="723"/>
      <c r="U341" s="723"/>
      <c r="V341" s="723"/>
      <c r="W341" s="723"/>
      <c r="X341" s="723"/>
      <c r="Y341" s="723"/>
    </row>
    <row r="342" spans="1:25">
      <c r="A342" s="723"/>
      <c r="B342" s="723"/>
      <c r="C342" s="723"/>
      <c r="D342" s="723"/>
      <c r="E342" s="723"/>
      <c r="F342" s="723"/>
      <c r="G342" s="723"/>
      <c r="H342" s="723"/>
      <c r="I342" s="723"/>
      <c r="J342" s="723"/>
      <c r="K342" s="723"/>
      <c r="L342" s="723"/>
      <c r="M342" s="723"/>
      <c r="N342" s="723"/>
      <c r="O342" s="723"/>
      <c r="P342" s="723"/>
      <c r="Q342" s="723"/>
      <c r="R342" s="723"/>
      <c r="S342" s="723"/>
      <c r="T342" s="723"/>
      <c r="U342" s="723"/>
      <c r="V342" s="723"/>
      <c r="W342" s="723"/>
      <c r="X342" s="723"/>
      <c r="Y342" s="723"/>
    </row>
    <row r="343" spans="1:25">
      <c r="A343" s="723"/>
      <c r="B343" s="723"/>
      <c r="C343" s="723"/>
      <c r="D343" s="723"/>
      <c r="E343" s="723"/>
      <c r="F343" s="723"/>
      <c r="G343" s="723"/>
      <c r="H343" s="723"/>
      <c r="I343" s="723"/>
      <c r="J343" s="723"/>
      <c r="K343" s="723"/>
      <c r="L343" s="723"/>
      <c r="M343" s="723"/>
      <c r="N343" s="723"/>
      <c r="O343" s="723"/>
      <c r="P343" s="723"/>
      <c r="Q343" s="723"/>
      <c r="R343" s="723"/>
      <c r="S343" s="723"/>
      <c r="T343" s="723"/>
      <c r="U343" s="723"/>
      <c r="V343" s="723"/>
      <c r="W343" s="723"/>
      <c r="X343" s="723"/>
      <c r="Y343" s="723"/>
    </row>
    <row r="344" spans="1:25">
      <c r="A344" s="723"/>
      <c r="B344" s="723"/>
      <c r="C344" s="723"/>
      <c r="D344" s="723"/>
      <c r="E344" s="723"/>
      <c r="F344" s="723"/>
      <c r="G344" s="723"/>
      <c r="H344" s="723"/>
      <c r="I344" s="723"/>
      <c r="J344" s="723"/>
      <c r="K344" s="723"/>
      <c r="L344" s="723"/>
      <c r="M344" s="723"/>
      <c r="N344" s="723"/>
      <c r="O344" s="723"/>
      <c r="P344" s="723"/>
      <c r="Q344" s="723"/>
      <c r="R344" s="723"/>
      <c r="S344" s="723"/>
      <c r="T344" s="723"/>
      <c r="U344" s="723"/>
      <c r="V344" s="723"/>
      <c r="W344" s="723"/>
      <c r="X344" s="723"/>
      <c r="Y344" s="723"/>
    </row>
    <row r="345" spans="1:25">
      <c r="A345" s="723"/>
      <c r="B345" s="723"/>
      <c r="C345" s="723"/>
      <c r="D345" s="723"/>
      <c r="E345" s="723"/>
      <c r="F345" s="723"/>
      <c r="G345" s="723"/>
      <c r="H345" s="723"/>
      <c r="I345" s="723"/>
      <c r="J345" s="723"/>
      <c r="K345" s="723"/>
      <c r="L345" s="723"/>
      <c r="M345" s="723"/>
      <c r="N345" s="723"/>
      <c r="O345" s="723"/>
      <c r="P345" s="723"/>
      <c r="Q345" s="723"/>
      <c r="R345" s="723"/>
      <c r="S345" s="723"/>
      <c r="T345" s="723"/>
      <c r="U345" s="723"/>
      <c r="V345" s="723"/>
      <c r="W345" s="723"/>
      <c r="X345" s="723"/>
      <c r="Y345" s="723"/>
    </row>
    <row r="346" spans="1:25">
      <c r="A346" s="723"/>
      <c r="B346" s="723"/>
      <c r="C346" s="723"/>
      <c r="D346" s="723"/>
      <c r="E346" s="723"/>
      <c r="F346" s="723"/>
      <c r="G346" s="723"/>
      <c r="H346" s="723"/>
      <c r="I346" s="723"/>
      <c r="J346" s="723"/>
      <c r="K346" s="723"/>
      <c r="L346" s="723"/>
      <c r="M346" s="723"/>
      <c r="N346" s="723"/>
      <c r="O346" s="723"/>
      <c r="P346" s="723"/>
      <c r="Q346" s="723"/>
      <c r="R346" s="723"/>
      <c r="S346" s="723"/>
      <c r="T346" s="723"/>
      <c r="U346" s="723"/>
      <c r="V346" s="723"/>
      <c r="W346" s="723"/>
      <c r="X346" s="723"/>
      <c r="Y346" s="723"/>
    </row>
    <row r="347" spans="1:25">
      <c r="A347" s="723"/>
      <c r="B347" s="723"/>
      <c r="C347" s="723"/>
      <c r="D347" s="723"/>
      <c r="E347" s="723"/>
      <c r="F347" s="723"/>
      <c r="G347" s="723"/>
      <c r="H347" s="723"/>
      <c r="I347" s="723"/>
      <c r="J347" s="723"/>
      <c r="K347" s="723"/>
      <c r="L347" s="723"/>
      <c r="M347" s="723"/>
      <c r="N347" s="723"/>
      <c r="O347" s="723"/>
      <c r="P347" s="723"/>
      <c r="Q347" s="723"/>
      <c r="R347" s="723"/>
      <c r="S347" s="723"/>
      <c r="T347" s="723"/>
      <c r="U347" s="723"/>
      <c r="V347" s="723"/>
      <c r="W347" s="723"/>
      <c r="X347" s="723"/>
      <c r="Y347" s="723"/>
    </row>
    <row r="348" spans="1:25">
      <c r="A348" s="723"/>
      <c r="B348" s="723"/>
      <c r="C348" s="723"/>
      <c r="D348" s="723"/>
      <c r="E348" s="723"/>
      <c r="F348" s="723"/>
      <c r="G348" s="723"/>
      <c r="H348" s="723"/>
      <c r="I348" s="723"/>
      <c r="J348" s="723"/>
      <c r="K348" s="723"/>
      <c r="L348" s="723"/>
      <c r="M348" s="723"/>
      <c r="N348" s="723"/>
      <c r="O348" s="723"/>
      <c r="P348" s="723"/>
      <c r="Q348" s="723"/>
      <c r="R348" s="723"/>
      <c r="S348" s="723"/>
      <c r="T348" s="723"/>
      <c r="U348" s="723"/>
      <c r="V348" s="723"/>
      <c r="W348" s="723"/>
      <c r="X348" s="723"/>
      <c r="Y348" s="723"/>
    </row>
    <row r="349" spans="1:25">
      <c r="A349" s="723"/>
      <c r="B349" s="723"/>
      <c r="C349" s="723"/>
      <c r="D349" s="723"/>
      <c r="E349" s="723"/>
      <c r="F349" s="723"/>
      <c r="G349" s="723"/>
      <c r="H349" s="723"/>
      <c r="I349" s="723"/>
      <c r="J349" s="723"/>
      <c r="K349" s="723"/>
      <c r="L349" s="723"/>
      <c r="M349" s="723"/>
      <c r="N349" s="723"/>
      <c r="O349" s="723"/>
      <c r="P349" s="723"/>
      <c r="Q349" s="723"/>
      <c r="R349" s="723"/>
      <c r="S349" s="723"/>
      <c r="T349" s="723"/>
      <c r="U349" s="723"/>
      <c r="V349" s="723"/>
      <c r="W349" s="723"/>
      <c r="X349" s="723"/>
      <c r="Y349" s="723"/>
    </row>
    <row r="350" spans="1:25">
      <c r="A350" s="723"/>
      <c r="B350" s="723"/>
      <c r="C350" s="723"/>
      <c r="D350" s="723"/>
      <c r="E350" s="723"/>
      <c r="F350" s="723"/>
      <c r="G350" s="723"/>
      <c r="H350" s="723"/>
      <c r="I350" s="723"/>
      <c r="J350" s="723"/>
      <c r="K350" s="723"/>
      <c r="L350" s="723"/>
      <c r="M350" s="723"/>
      <c r="N350" s="723"/>
      <c r="O350" s="723"/>
      <c r="P350" s="723"/>
      <c r="Q350" s="723"/>
      <c r="R350" s="723"/>
      <c r="S350" s="723"/>
      <c r="T350" s="723"/>
      <c r="U350" s="723"/>
      <c r="V350" s="723"/>
      <c r="W350" s="723"/>
      <c r="X350" s="723"/>
      <c r="Y350" s="723"/>
    </row>
    <row r="351" spans="1:25">
      <c r="A351" s="723"/>
      <c r="B351" s="723"/>
      <c r="C351" s="723"/>
      <c r="D351" s="723"/>
      <c r="E351" s="723"/>
      <c r="F351" s="723"/>
      <c r="G351" s="723"/>
      <c r="H351" s="723"/>
      <c r="I351" s="723"/>
      <c r="J351" s="723"/>
      <c r="K351" s="723"/>
      <c r="L351" s="723"/>
      <c r="M351" s="723"/>
      <c r="N351" s="723"/>
      <c r="O351" s="723"/>
      <c r="P351" s="723"/>
      <c r="Q351" s="723"/>
      <c r="R351" s="723"/>
      <c r="S351" s="723"/>
      <c r="T351" s="723"/>
      <c r="U351" s="723"/>
      <c r="V351" s="723"/>
      <c r="W351" s="723"/>
      <c r="X351" s="723"/>
      <c r="Y351" s="723"/>
    </row>
    <row r="352" spans="1:25">
      <c r="A352" s="723"/>
      <c r="B352" s="723"/>
      <c r="C352" s="723"/>
      <c r="D352" s="723"/>
      <c r="E352" s="723"/>
      <c r="F352" s="723"/>
      <c r="G352" s="723"/>
      <c r="H352" s="723"/>
      <c r="I352" s="723"/>
      <c r="J352" s="723"/>
      <c r="K352" s="723"/>
      <c r="L352" s="723"/>
      <c r="M352" s="723"/>
      <c r="N352" s="723"/>
      <c r="O352" s="723"/>
      <c r="P352" s="723"/>
      <c r="Q352" s="723"/>
      <c r="R352" s="723"/>
      <c r="S352" s="723"/>
      <c r="T352" s="723"/>
      <c r="U352" s="723"/>
      <c r="V352" s="723"/>
      <c r="W352" s="723"/>
      <c r="X352" s="723"/>
      <c r="Y352" s="723"/>
    </row>
    <row r="353" spans="1:25">
      <c r="A353" s="723"/>
      <c r="B353" s="723"/>
      <c r="C353" s="723"/>
      <c r="D353" s="723"/>
      <c r="E353" s="723"/>
      <c r="F353" s="723"/>
      <c r="G353" s="723"/>
      <c r="H353" s="723"/>
      <c r="I353" s="723"/>
      <c r="J353" s="723"/>
      <c r="K353" s="723"/>
      <c r="L353" s="723"/>
      <c r="M353" s="723"/>
      <c r="N353" s="723"/>
      <c r="O353" s="723"/>
      <c r="P353" s="723"/>
      <c r="Q353" s="723"/>
      <c r="R353" s="723"/>
      <c r="S353" s="723"/>
      <c r="T353" s="723"/>
      <c r="U353" s="723"/>
      <c r="V353" s="723"/>
      <c r="W353" s="723"/>
      <c r="X353" s="723"/>
      <c r="Y353" s="723"/>
    </row>
    <row r="354" spans="1:25">
      <c r="A354" s="723"/>
      <c r="B354" s="723"/>
      <c r="C354" s="723"/>
      <c r="D354" s="723"/>
      <c r="E354" s="723"/>
      <c r="F354" s="723"/>
      <c r="G354" s="723"/>
      <c r="H354" s="723"/>
      <c r="I354" s="723"/>
      <c r="J354" s="723"/>
      <c r="K354" s="723"/>
      <c r="L354" s="723"/>
      <c r="M354" s="723"/>
      <c r="N354" s="723"/>
      <c r="O354" s="723"/>
      <c r="P354" s="723"/>
      <c r="Q354" s="723"/>
      <c r="R354" s="723"/>
      <c r="S354" s="723"/>
      <c r="T354" s="723"/>
      <c r="U354" s="723"/>
      <c r="V354" s="723"/>
      <c r="W354" s="723"/>
      <c r="X354" s="723"/>
      <c r="Y354" s="723"/>
    </row>
    <row r="355" spans="1:25">
      <c r="A355" s="723"/>
      <c r="B355" s="723"/>
      <c r="C355" s="723"/>
      <c r="D355" s="723"/>
      <c r="E355" s="723"/>
      <c r="F355" s="723"/>
      <c r="G355" s="723"/>
      <c r="H355" s="723"/>
      <c r="I355" s="723"/>
      <c r="J355" s="723"/>
      <c r="K355" s="723"/>
      <c r="L355" s="723"/>
      <c r="M355" s="723"/>
      <c r="N355" s="723"/>
      <c r="O355" s="723"/>
      <c r="P355" s="723"/>
      <c r="Q355" s="723"/>
      <c r="R355" s="723"/>
      <c r="S355" s="723"/>
      <c r="T355" s="723"/>
      <c r="U355" s="723"/>
      <c r="V355" s="723"/>
      <c r="W355" s="723"/>
      <c r="X355" s="723"/>
      <c r="Y355" s="723"/>
    </row>
    <row r="356" spans="1:25">
      <c r="A356" s="723"/>
      <c r="B356" s="723"/>
      <c r="C356" s="723"/>
      <c r="D356" s="723"/>
      <c r="E356" s="723"/>
      <c r="F356" s="723"/>
      <c r="G356" s="723"/>
      <c r="H356" s="723"/>
      <c r="I356" s="723"/>
      <c r="J356" s="723"/>
      <c r="K356" s="723"/>
      <c r="L356" s="723"/>
      <c r="M356" s="723"/>
      <c r="N356" s="723"/>
      <c r="O356" s="723"/>
      <c r="P356" s="723"/>
      <c r="Q356" s="723"/>
      <c r="R356" s="723"/>
      <c r="S356" s="723"/>
      <c r="T356" s="723"/>
      <c r="U356" s="723"/>
      <c r="V356" s="723"/>
      <c r="W356" s="723"/>
      <c r="X356" s="723"/>
      <c r="Y356" s="723"/>
    </row>
    <row r="357" spans="1:25">
      <c r="A357" s="723"/>
      <c r="B357" s="723"/>
      <c r="C357" s="723"/>
      <c r="D357" s="723"/>
      <c r="E357" s="723"/>
      <c r="F357" s="723"/>
      <c r="G357" s="723"/>
      <c r="H357" s="723"/>
      <c r="I357" s="723"/>
      <c r="J357" s="723"/>
      <c r="K357" s="723"/>
      <c r="L357" s="723"/>
      <c r="M357" s="723"/>
      <c r="N357" s="723"/>
      <c r="O357" s="723"/>
      <c r="P357" s="723"/>
      <c r="Q357" s="723"/>
      <c r="R357" s="723"/>
      <c r="S357" s="723"/>
      <c r="T357" s="723"/>
      <c r="U357" s="723"/>
      <c r="V357" s="723"/>
      <c r="W357" s="723"/>
      <c r="X357" s="723"/>
      <c r="Y357" s="723"/>
    </row>
    <row r="358" spans="1:25">
      <c r="A358" s="723"/>
      <c r="B358" s="723"/>
      <c r="C358" s="723"/>
      <c r="D358" s="723"/>
      <c r="E358" s="723"/>
      <c r="F358" s="723"/>
      <c r="G358" s="723"/>
      <c r="H358" s="723"/>
      <c r="I358" s="723"/>
      <c r="J358" s="723"/>
      <c r="K358" s="723"/>
      <c r="L358" s="723"/>
      <c r="M358" s="723"/>
      <c r="N358" s="723"/>
      <c r="O358" s="723"/>
      <c r="P358" s="723"/>
      <c r="Q358" s="723"/>
      <c r="R358" s="723"/>
      <c r="S358" s="723"/>
      <c r="T358" s="723"/>
      <c r="U358" s="723"/>
      <c r="V358" s="723"/>
      <c r="W358" s="723"/>
      <c r="X358" s="723"/>
      <c r="Y358" s="723"/>
    </row>
    <row r="359" spans="1:25">
      <c r="A359" s="723"/>
      <c r="B359" s="723"/>
      <c r="C359" s="723"/>
      <c r="D359" s="723"/>
      <c r="E359" s="723"/>
      <c r="F359" s="723"/>
      <c r="G359" s="723"/>
      <c r="H359" s="723"/>
      <c r="I359" s="723"/>
      <c r="J359" s="723"/>
      <c r="K359" s="723"/>
      <c r="L359" s="723"/>
      <c r="M359" s="723"/>
      <c r="N359" s="723"/>
      <c r="O359" s="723"/>
      <c r="P359" s="723"/>
      <c r="Q359" s="723"/>
      <c r="R359" s="723"/>
      <c r="S359" s="723"/>
      <c r="T359" s="723"/>
      <c r="U359" s="723"/>
      <c r="V359" s="723"/>
      <c r="W359" s="723"/>
      <c r="X359" s="723"/>
      <c r="Y359" s="723"/>
    </row>
    <row r="360" spans="1:25">
      <c r="A360" s="723"/>
      <c r="B360" s="723"/>
      <c r="C360" s="723"/>
      <c r="D360" s="723"/>
      <c r="E360" s="723"/>
      <c r="F360" s="723"/>
      <c r="G360" s="723"/>
      <c r="H360" s="723"/>
      <c r="I360" s="723"/>
      <c r="J360" s="723"/>
      <c r="K360" s="723"/>
      <c r="L360" s="723"/>
      <c r="M360" s="723"/>
      <c r="N360" s="723"/>
      <c r="O360" s="723"/>
      <c r="P360" s="723"/>
      <c r="Q360" s="723"/>
      <c r="R360" s="723"/>
      <c r="S360" s="723"/>
      <c r="T360" s="723"/>
      <c r="U360" s="723"/>
      <c r="V360" s="723"/>
      <c r="W360" s="723"/>
      <c r="X360" s="723"/>
      <c r="Y360" s="723"/>
    </row>
  </sheetData>
  <mergeCells count="7">
    <mergeCell ref="O77:Q77"/>
    <mergeCell ref="Q35:X35"/>
    <mergeCell ref="C73:E73"/>
    <mergeCell ref="S74:Y74"/>
    <mergeCell ref="N75:Q75"/>
    <mergeCell ref="S75:Y76"/>
    <mergeCell ref="O76:Q76"/>
  </mergeCells>
  <pageMargins left="0.86614173228346458" right="0.23" top="0.48" bottom="7.874015748031496E-2" header="0.31496062992125984" footer="0.62992125984251968"/>
  <pageSetup paperSize="9" scale="90" orientation="portrait" r:id="rId1"/>
  <headerFooter alignWithMargins="0">
    <oddFooter>&amp;CMO 41.158 - Proponente - Unidade Isolada - Especificação, Orçamento, Cronograma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4</vt:i4>
      </vt:variant>
    </vt:vector>
  </HeadingPairs>
  <TitlesOfParts>
    <vt:vector size="13" baseType="lpstr">
      <vt:lpstr>AJUDA E TABELAS</vt:lpstr>
      <vt:lpstr>DADOS</vt:lpstr>
      <vt:lpstr>LISTA MATERIAIS</vt:lpstr>
      <vt:lpstr>MÃO DE OBRA</vt:lpstr>
      <vt:lpstr>RESULTADOS</vt:lpstr>
      <vt:lpstr>QUALIDADE</vt:lpstr>
      <vt:lpstr>Orçamento</vt:lpstr>
      <vt:lpstr>Cronograma</vt:lpstr>
      <vt:lpstr>ESPELHO</vt:lpstr>
      <vt:lpstr>Cronograma!Area_de_impressao</vt:lpstr>
      <vt:lpstr>Orçamento!Area_de_impressao</vt:lpstr>
      <vt:lpstr>Cronograma!Titulos_de_impressao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2015-05-26T12:02:22Z</dcterms:created>
  <dcterms:modified xsi:type="dcterms:W3CDTF">2015-11-19T17:09:15Z</dcterms:modified>
</cp:coreProperties>
</file>